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0_6.bin" ContentType="application/vnd.openxmlformats-officedocument.oleObject"/>
  <Override PartName="/xl/embeddings/oleObject_10_7.bin" ContentType="application/vnd.openxmlformats-officedocument.oleObject"/>
  <Override PartName="/xl/embeddings/oleObject_10_8.bin" ContentType="application/vnd.openxmlformats-officedocument.oleObject"/>
  <Override PartName="/xl/embeddings/oleObject_10_9.bin" ContentType="application/vnd.openxmlformats-officedocument.oleObject"/>
  <Override PartName="/xl/embeddings/oleObject_10_10.bin" ContentType="application/vnd.openxmlformats-officedocument.oleObject"/>
  <Override PartName="/xl/embeddings/oleObject_10_11.bin" ContentType="application/vnd.openxmlformats-officedocument.oleObject"/>
  <Override PartName="/xl/embeddings/oleObject_10_12.bin" ContentType="application/vnd.openxmlformats-officedocument.oleObject"/>
  <Override PartName="/xl/embeddings/oleObject_10_13.bin" ContentType="application/vnd.openxmlformats-officedocument.oleObject"/>
  <Override PartName="/xl/embeddings/oleObject_10_14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  <Override PartName="/xl/embeddings/oleObject_11_6.bin" ContentType="application/vnd.openxmlformats-officedocument.oleObject"/>
  <Override PartName="/xl/embeddings/oleObject_11_7.bin" ContentType="application/vnd.openxmlformats-officedocument.oleObject"/>
  <Override PartName="/xl/embeddings/oleObject_11_8.bin" ContentType="application/vnd.openxmlformats-officedocument.oleObject"/>
  <Override PartName="/xl/embeddings/oleObject_11_9.bin" ContentType="application/vnd.openxmlformats-officedocument.oleObject"/>
  <Override PartName="/xl/embeddings/oleObject_11_10.bin" ContentType="application/vnd.openxmlformats-officedocument.oleObject"/>
  <Override PartName="/xl/embeddings/oleObject_11_11.bin" ContentType="application/vnd.openxmlformats-officedocument.oleObject"/>
  <Override PartName="/xl/embeddings/oleObject_11_12.bin" ContentType="application/vnd.openxmlformats-officedocument.oleObject"/>
  <Override PartName="/xl/embeddings/oleObject_11_13.bin" ContentType="application/vnd.openxmlformats-officedocument.oleObject"/>
  <Override PartName="/xl/embeddings/oleObject_1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310" windowHeight="5235" tabRatio="722" activeTab="0"/>
  </bookViews>
  <sheets>
    <sheet name="Sheet1" sheetId="1" r:id="rId1"/>
    <sheet name="总参数页" sheetId="2" r:id="rId2"/>
    <sheet name="选筋（X向）" sheetId="3" r:id="rId3"/>
    <sheet name="选筋（Y向）" sheetId="4" r:id="rId4"/>
    <sheet name="X向计算" sheetId="5" state="hidden" r:id="rId5"/>
    <sheet name="Y向计算" sheetId="6" state="hidden" r:id="rId6"/>
    <sheet name="选筋计算（X向）" sheetId="7" state="hidden" r:id="rId7"/>
    <sheet name="混凝土强度和模量" sheetId="8" state="hidden" r:id="rId8"/>
    <sheet name="弯矩系数" sheetId="9" state="hidden" r:id="rId9"/>
    <sheet name="选筋计算（Y向）" sheetId="10" state="hidden" r:id="rId10"/>
    <sheet name="计算书(自选)" sheetId="11" r:id="rId11"/>
    <sheet name="计算书(手选)" sheetId="12" r:id="rId12"/>
  </sheets>
  <definedNames>
    <definedName name="As" localSheetId="10">'计算书(自选)'!$H$97</definedName>
    <definedName name="As">'计算书(手选)'!$H$97</definedName>
    <definedName name="Ec">'X向计算'!$V$6</definedName>
    <definedName name="Es">'X向计算'!$U$6</definedName>
    <definedName name="fc">'X向计算'!$Q$6</definedName>
    <definedName name="ft">'X向计算'!$R$6</definedName>
    <definedName name="ftk">'X向计算'!$S$6</definedName>
    <definedName name="fy">'X向计算'!$T$6</definedName>
    <definedName name="_xlnm.Print_Area" localSheetId="11">'计算书(手选)'!$A$1:$I$232</definedName>
    <definedName name="_xlnm.Print_Area" localSheetId="10">'计算书(自选)'!$A$1:$I$232</definedName>
    <definedName name="_xlnm.Print_Area" localSheetId="1">'总参数页'!$A$1:$O$103</definedName>
  </definedNames>
  <calcPr fullCalcOnLoad="1"/>
</workbook>
</file>

<file path=xl/sharedStrings.xml><?xml version="1.0" encoding="utf-8"?>
<sst xmlns="http://schemas.openxmlformats.org/spreadsheetml/2006/main" count="1343" uniqueCount="425">
  <si>
    <t>(mm)</t>
  </si>
  <si>
    <t>板厚</t>
  </si>
  <si>
    <t>内跨</t>
  </si>
  <si>
    <t>混凝土强度和模量</t>
  </si>
  <si>
    <t>强度</t>
  </si>
  <si>
    <t>fck</t>
  </si>
  <si>
    <t>ftk</t>
  </si>
  <si>
    <t>fc</t>
  </si>
  <si>
    <t>ft</t>
  </si>
  <si>
    <t>Ec</t>
  </si>
  <si>
    <t>Ecf</t>
  </si>
  <si>
    <t>类型</t>
  </si>
  <si>
    <t>N/mm2</t>
  </si>
  <si>
    <t>C15</t>
  </si>
  <si>
    <t>C20</t>
  </si>
  <si>
    <t>C25</t>
  </si>
  <si>
    <t>C30</t>
  </si>
  <si>
    <t>C35</t>
  </si>
  <si>
    <t>C40</t>
  </si>
  <si>
    <t>C45</t>
  </si>
  <si>
    <t>C50</t>
  </si>
  <si>
    <t>C55</t>
  </si>
  <si>
    <t>C60</t>
  </si>
  <si>
    <t>C65</t>
  </si>
  <si>
    <t>C70</t>
  </si>
  <si>
    <t>C75</t>
  </si>
  <si>
    <t>C80</t>
  </si>
  <si>
    <t>fy</t>
  </si>
  <si>
    <t>Es</t>
  </si>
  <si>
    <t>fv</t>
  </si>
  <si>
    <t>HPB235</t>
  </si>
  <si>
    <t>HRB335</t>
  </si>
  <si>
    <t>HRB400</t>
  </si>
  <si>
    <t>混凝土强度</t>
  </si>
  <si>
    <t>钢筋强度</t>
  </si>
  <si>
    <t>板跨</t>
  </si>
  <si>
    <t>(m)</t>
  </si>
  <si>
    <t>恒载分项系数</t>
  </si>
  <si>
    <t>活载p</t>
  </si>
  <si>
    <r>
      <t>(kN/m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</si>
  <si>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活载分项系数</t>
  </si>
  <si>
    <t>板带宽</t>
  </si>
  <si>
    <t>活载p</t>
  </si>
  <si>
    <t>板跨</t>
  </si>
  <si>
    <t>恒载g</t>
  </si>
  <si>
    <t>分项系数</t>
  </si>
  <si>
    <r>
      <t>(kN/m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</si>
  <si>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(m)</t>
  </si>
  <si>
    <t>恒载</t>
  </si>
  <si>
    <t>活载</t>
  </si>
  <si>
    <t>计算荷载</t>
  </si>
  <si>
    <t>弯矩系数</t>
  </si>
  <si>
    <r>
      <t>ql</t>
    </r>
    <r>
      <rPr>
        <vertAlign val="superscript"/>
        <sz val="10"/>
        <rFont val="宋体"/>
        <family val="0"/>
      </rPr>
      <t>2</t>
    </r>
  </si>
  <si>
    <t>M1</t>
  </si>
  <si>
    <t>Mc</t>
  </si>
  <si>
    <t xml:space="preserve">支座弯矩调幅系数:  </t>
  </si>
  <si>
    <t>Mb</t>
  </si>
  <si>
    <t>M3</t>
  </si>
  <si>
    <t>端跨(每延米)</t>
  </si>
  <si>
    <t>内跨(每延米)</t>
  </si>
  <si>
    <t>h0</t>
  </si>
  <si>
    <t>保护层厚度</t>
  </si>
  <si>
    <r>
      <t>N/mm</t>
    </r>
    <r>
      <rPr>
        <vertAlign val="superscript"/>
        <sz val="10"/>
        <rFont val="宋体"/>
        <family val="0"/>
      </rPr>
      <t>2</t>
    </r>
  </si>
  <si>
    <t>初选钢筋直径</t>
  </si>
  <si>
    <t>(kN/m)</t>
  </si>
  <si>
    <t>组合值</t>
  </si>
  <si>
    <t>Mk</t>
  </si>
  <si>
    <t>ωmax</t>
  </si>
  <si>
    <t>钢筋造价</t>
  </si>
  <si>
    <t>元/kg</t>
  </si>
  <si>
    <t>混凝土造价</t>
  </si>
  <si>
    <t>配筋率</t>
  </si>
  <si>
    <t>qk(标准值)</t>
  </si>
  <si>
    <r>
      <t>q</t>
    </r>
    <r>
      <rPr>
        <vertAlign val="subscript"/>
        <sz val="10"/>
        <rFont val="宋体"/>
        <family val="0"/>
      </rPr>
      <t>k</t>
    </r>
    <r>
      <rPr>
        <sz val="10"/>
        <rFont val="宋体"/>
        <family val="0"/>
      </rPr>
      <t>l</t>
    </r>
    <r>
      <rPr>
        <vertAlign val="superscript"/>
        <sz val="10"/>
        <rFont val="宋体"/>
        <family val="0"/>
      </rPr>
      <t>2</t>
    </r>
  </si>
  <si>
    <t>柱上板带</t>
  </si>
  <si>
    <t>跨中板带</t>
  </si>
  <si>
    <t>M</t>
  </si>
  <si>
    <t>h</t>
  </si>
  <si>
    <t>As</t>
  </si>
  <si>
    <t>裂缝控制限值</t>
  </si>
  <si>
    <t>支座负筋</t>
  </si>
  <si>
    <t>跨中正筋</t>
  </si>
  <si>
    <r>
      <t>(mm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</si>
  <si>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ρmin</t>
  </si>
  <si>
    <t>最小配筋率</t>
  </si>
  <si>
    <t>板块钢筋总重量(kg)</t>
  </si>
  <si>
    <t>(mm)</t>
  </si>
  <si>
    <t>相当每平米钢筋量(kg)</t>
  </si>
  <si>
    <t>每平方米造价(元)</t>
  </si>
  <si>
    <r>
      <t>混凝土体积(m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</si>
  <si>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钢筋重量(kg/m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</si>
  <si>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柱上</t>
  </si>
  <si>
    <t>跨中</t>
  </si>
  <si>
    <t>(kNm)</t>
  </si>
  <si>
    <r>
      <t>实配钢筋(mm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/m)</t>
    </r>
  </si>
  <si>
    <r>
      <t>元/m</t>
    </r>
    <r>
      <rPr>
        <vertAlign val="superscript"/>
        <sz val="10"/>
        <rFont val="宋体"/>
        <family val="0"/>
      </rPr>
      <t>3</t>
    </r>
  </si>
  <si>
    <t>裂缝控制限值</t>
  </si>
  <si>
    <t>Qa</t>
  </si>
  <si>
    <t>Qb左</t>
  </si>
  <si>
    <t>Qb右</t>
  </si>
  <si>
    <t>Qc左</t>
  </si>
  <si>
    <t>Qc右</t>
  </si>
  <si>
    <t>剪力系数</t>
  </si>
  <si>
    <t>x</t>
  </si>
  <si>
    <t>选配钢筋直径(mm)</t>
  </si>
  <si>
    <t>钢筋间距(mm)</t>
  </si>
  <si>
    <t>A</t>
  </si>
  <si>
    <t>B</t>
  </si>
  <si>
    <t>C</t>
  </si>
  <si>
    <t>边跨</t>
  </si>
  <si>
    <t>As</t>
  </si>
  <si>
    <t xml:space="preserve"> </t>
  </si>
  <si>
    <t xml:space="preserve">                                                            </t>
  </si>
  <si>
    <t>荷载方式</t>
  </si>
  <si>
    <t>均布荷载</t>
  </si>
  <si>
    <t>三角荷载</t>
  </si>
  <si>
    <t>M2</t>
  </si>
  <si>
    <t>M3</t>
  </si>
  <si>
    <t>Mb</t>
  </si>
  <si>
    <t>双三角荷载</t>
  </si>
  <si>
    <t>挠度系数</t>
  </si>
  <si>
    <t>调幅系数</t>
  </si>
  <si>
    <t>总弯矩</t>
  </si>
  <si>
    <t>调幅后弯矩</t>
  </si>
  <si>
    <t>计算弯矩</t>
  </si>
  <si>
    <t>每延米弯矩</t>
  </si>
  <si>
    <t>三三角荷载</t>
  </si>
  <si>
    <t>四三角荷载</t>
  </si>
  <si>
    <t>井字梁</t>
  </si>
  <si>
    <r>
      <t>需配钢筋(mm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/m)(抗弯)</t>
    </r>
  </si>
  <si>
    <r>
      <t>需配钢筋(mm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/m)(抗裂缝)</t>
    </r>
  </si>
  <si>
    <t>mm</t>
  </si>
  <si>
    <t>边跨</t>
  </si>
  <si>
    <t>中跨</t>
  </si>
  <si>
    <t>每延米弯矩设计值M(kNm/m)</t>
  </si>
  <si>
    <t>每延米弯矩标准值Mk(kNm/m)</t>
  </si>
  <si>
    <t>q(组合值)</t>
  </si>
  <si>
    <t>中间跨</t>
  </si>
  <si>
    <t>Mc</t>
  </si>
  <si>
    <t>α</t>
  </si>
  <si>
    <t>β</t>
  </si>
  <si>
    <t>连续梁</t>
  </si>
  <si>
    <r>
      <t>f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=0.00542ql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/B</t>
    </r>
  </si>
  <si>
    <r>
      <t>f lim   1/300l</t>
    </r>
    <r>
      <rPr>
        <vertAlign val="subscript"/>
        <sz val="10"/>
        <rFont val="Times New Roman"/>
        <family val="1"/>
      </rPr>
      <t>0</t>
    </r>
  </si>
  <si>
    <r>
      <t>满足？</t>
    </r>
    <r>
      <rPr>
        <sz val="10"/>
        <rFont val="Times New Roman"/>
        <family val="1"/>
      </rPr>
      <t>OK!!!</t>
    </r>
  </si>
  <si>
    <t>Ec</t>
  </si>
  <si>
    <t>柱上板带配筋</t>
  </si>
  <si>
    <t>ln</t>
  </si>
  <si>
    <t>(mm)</t>
  </si>
  <si>
    <t>柱帽宽度(bce)</t>
  </si>
  <si>
    <t>支座负筋(50%)</t>
  </si>
  <si>
    <t>长度(mm)</t>
  </si>
  <si>
    <t>直径,间距</t>
  </si>
  <si>
    <t>e=0.35ln</t>
  </si>
  <si>
    <t>跨中正筋(100%)</t>
  </si>
  <si>
    <t>跨中负筋(100%)</t>
  </si>
  <si>
    <t>跨中板带</t>
  </si>
  <si>
    <t>支座正筋(100%)</t>
  </si>
  <si>
    <t>m</t>
  </si>
  <si>
    <r>
      <t>每平方米混凝土体积(m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</si>
  <si>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t>重量</t>
  </si>
  <si>
    <t>按分离式配筋钢筋总重(kg)</t>
  </si>
  <si>
    <t>合计重量(kg/m)</t>
  </si>
  <si>
    <t>每根桩荷载标准值(kN)</t>
  </si>
  <si>
    <t>相当每平米钢筋量(kg)</t>
  </si>
  <si>
    <r>
      <t>As(mm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/m)</t>
    </r>
  </si>
  <si>
    <t>板跨方向总重量(kg)</t>
  </si>
  <si>
    <t>砼综合价</t>
  </si>
  <si>
    <t>钢筋综合价(元/kg)</t>
  </si>
  <si>
    <t>较满布钢筋量</t>
  </si>
  <si>
    <t>组合系数</t>
  </si>
  <si>
    <t>准永久值系数</t>
  </si>
  <si>
    <t>基本组合值</t>
  </si>
  <si>
    <t>标准组合值</t>
  </si>
  <si>
    <t>Mq</t>
  </si>
  <si>
    <r>
      <t>q</t>
    </r>
    <r>
      <rPr>
        <vertAlign val="subscript"/>
        <sz val="10"/>
        <rFont val="宋体"/>
        <family val="0"/>
      </rPr>
      <t>q</t>
    </r>
    <r>
      <rPr>
        <sz val="10"/>
        <rFont val="宋体"/>
        <family val="0"/>
      </rPr>
      <t>l</t>
    </r>
    <r>
      <rPr>
        <vertAlign val="superscript"/>
        <sz val="10"/>
        <rFont val="宋体"/>
        <family val="0"/>
      </rPr>
      <t>2</t>
    </r>
  </si>
  <si>
    <t>准永久组合值</t>
  </si>
  <si>
    <r>
      <t>ρ</t>
    </r>
    <r>
      <rPr>
        <vertAlign val="subscript"/>
        <sz val="10"/>
        <rFont val="Times New Roman"/>
        <family val="1"/>
      </rPr>
      <t>te</t>
    </r>
    <r>
      <rPr>
        <sz val="10"/>
        <rFont val="Times New Roman"/>
        <family val="1"/>
      </rPr>
      <t xml:space="preserve"> =(A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+A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>)/A</t>
    </r>
    <r>
      <rPr>
        <vertAlign val="subscript"/>
        <sz val="10"/>
        <rFont val="Times New Roman"/>
        <family val="1"/>
      </rPr>
      <t xml:space="preserve">te; </t>
    </r>
    <r>
      <rPr>
        <sz val="10"/>
        <rFont val="Times New Roman"/>
        <family val="1"/>
      </rPr>
      <t>A</t>
    </r>
    <r>
      <rPr>
        <vertAlign val="subscript"/>
        <sz val="10"/>
        <rFont val="Times New Roman"/>
        <family val="1"/>
      </rPr>
      <t>te</t>
    </r>
    <r>
      <rPr>
        <sz val="10"/>
        <rFont val="Times New Roman"/>
        <family val="1"/>
      </rPr>
      <t>=0.5bh</t>
    </r>
  </si>
  <si>
    <t>ρte</t>
  </si>
  <si>
    <r>
      <t>σ</t>
    </r>
    <r>
      <rPr>
        <vertAlign val="subscript"/>
        <sz val="10"/>
        <rFont val="Times New Roman"/>
        <family val="1"/>
      </rPr>
      <t>sk</t>
    </r>
    <r>
      <rPr>
        <sz val="10"/>
        <rFont val="Times New Roman"/>
        <family val="1"/>
      </rPr>
      <t>=M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>/0.87/h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/A</t>
    </r>
    <r>
      <rPr>
        <vertAlign val="subscript"/>
        <sz val="10"/>
        <rFont val="Times New Roman"/>
        <family val="1"/>
      </rPr>
      <t>s</t>
    </r>
  </si>
  <si>
    <t>σsk</t>
  </si>
  <si>
    <r>
      <t>ψ</t>
    </r>
    <r>
      <rPr>
        <sz val="10"/>
        <rFont val="Times New Roman"/>
        <family val="1"/>
      </rPr>
      <t>=1.1-0.65*f</t>
    </r>
    <r>
      <rPr>
        <vertAlign val="subscript"/>
        <sz val="10"/>
        <rFont val="Times New Roman"/>
        <family val="1"/>
      </rPr>
      <t>tk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ρ</t>
    </r>
    <r>
      <rPr>
        <vertAlign val="subscript"/>
        <sz val="10"/>
        <rFont val="Times New Roman"/>
        <family val="1"/>
      </rPr>
      <t>te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σ</t>
    </r>
    <r>
      <rPr>
        <vertAlign val="subscript"/>
        <sz val="10"/>
        <rFont val="Times New Roman"/>
        <family val="1"/>
      </rPr>
      <t>sk</t>
    </r>
    <r>
      <rPr>
        <sz val="10"/>
        <rFont val="Times New Roman"/>
        <family val="1"/>
      </rPr>
      <t>(0.2&lt;</t>
    </r>
    <r>
      <rPr>
        <sz val="10"/>
        <rFont val="宋体"/>
        <family val="0"/>
      </rPr>
      <t>ψ</t>
    </r>
    <r>
      <rPr>
        <sz val="10"/>
        <rFont val="Times New Roman"/>
        <family val="1"/>
      </rPr>
      <t>&lt;1)</t>
    </r>
  </si>
  <si>
    <t>ψ</t>
  </si>
  <si>
    <r>
      <t>α</t>
    </r>
    <r>
      <rPr>
        <vertAlign val="subscript"/>
        <sz val="10"/>
        <rFont val="Times New Roman"/>
        <family val="1"/>
      </rPr>
      <t>e</t>
    </r>
    <r>
      <rPr>
        <sz val="10"/>
        <rFont val="Times New Roman"/>
        <family val="1"/>
      </rPr>
      <t>=E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/E</t>
    </r>
    <r>
      <rPr>
        <vertAlign val="subscript"/>
        <sz val="10"/>
        <rFont val="Times New Roman"/>
        <family val="1"/>
      </rPr>
      <t>c</t>
    </r>
  </si>
  <si>
    <t>αe</t>
  </si>
  <si>
    <r>
      <t>ρ</t>
    </r>
    <r>
      <rPr>
        <sz val="10"/>
        <rFont val="Times New Roman"/>
        <family val="1"/>
      </rPr>
      <t>=A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/bh</t>
    </r>
    <r>
      <rPr>
        <vertAlign val="subscript"/>
        <sz val="10"/>
        <rFont val="Times New Roman"/>
        <family val="1"/>
      </rPr>
      <t>0</t>
    </r>
  </si>
  <si>
    <t>ρ</t>
  </si>
  <si>
    <r>
      <t>B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=E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A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0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/(1.15</t>
    </r>
    <r>
      <rPr>
        <sz val="10"/>
        <rFont val="宋体"/>
        <family val="0"/>
      </rPr>
      <t>ψ</t>
    </r>
    <r>
      <rPr>
        <sz val="10"/>
        <rFont val="Times New Roman"/>
        <family val="1"/>
      </rPr>
      <t>+0.2+(6</t>
    </r>
    <r>
      <rPr>
        <sz val="10"/>
        <rFont val="宋体"/>
        <family val="0"/>
      </rPr>
      <t>α</t>
    </r>
    <r>
      <rPr>
        <vertAlign val="subscript"/>
        <sz val="10"/>
        <rFont val="Times New Roman"/>
        <family val="1"/>
      </rPr>
      <t>e</t>
    </r>
    <r>
      <rPr>
        <sz val="10"/>
        <rFont val="宋体"/>
        <family val="0"/>
      </rPr>
      <t>ρ</t>
    </r>
    <r>
      <rPr>
        <sz val="10"/>
        <rFont val="Times New Roman"/>
        <family val="1"/>
      </rPr>
      <t>/(1+3.5</t>
    </r>
    <r>
      <rPr>
        <sz val="10"/>
        <rFont val="宋体"/>
        <family val="0"/>
      </rPr>
      <t>γ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))</t>
    </r>
  </si>
  <si>
    <t>Bs</t>
  </si>
  <si>
    <t>fd</t>
  </si>
  <si>
    <r>
      <t>B=M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>/(M</t>
    </r>
    <r>
      <rPr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θ</t>
    </r>
    <r>
      <rPr>
        <sz val="10"/>
        <rFont val="Times New Roman"/>
        <family val="1"/>
      </rPr>
      <t>-1)+M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>)*B</t>
    </r>
    <r>
      <rPr>
        <vertAlign val="subscript"/>
        <sz val="10"/>
        <rFont val="Times New Roman"/>
        <family val="1"/>
      </rPr>
      <t>s</t>
    </r>
  </si>
  <si>
    <t>B</t>
  </si>
  <si>
    <r>
      <t>(用于挠度验算</t>
    </r>
    <r>
      <rPr>
        <sz val="12"/>
        <rFont val="宋体"/>
        <family val="0"/>
      </rPr>
      <t>)</t>
    </r>
  </si>
  <si>
    <t>冷轧带肋钢筋</t>
  </si>
  <si>
    <t>冷拔光面钢筋</t>
  </si>
  <si>
    <t>无梁楼盖</t>
  </si>
  <si>
    <t>三三角荷载</t>
  </si>
  <si>
    <t>四三角荷载</t>
  </si>
  <si>
    <t>Y方向</t>
  </si>
  <si>
    <t>X方向</t>
  </si>
  <si>
    <t>X向板跨</t>
  </si>
  <si>
    <t>Y向板跨</t>
  </si>
  <si>
    <r>
      <t>l</t>
    </r>
    <r>
      <rPr>
        <vertAlign val="subscript"/>
        <sz val="12"/>
        <rFont val="宋体"/>
        <family val="0"/>
      </rPr>
      <t>n</t>
    </r>
  </si>
  <si>
    <t>局部荷载或集中力反力作用面积的影响系数η1</t>
  </si>
  <si>
    <t>临界截面周长与板截面有效高度之比的影响系数η2</t>
  </si>
  <si>
    <t>ρte</t>
  </si>
  <si>
    <t>σsk</t>
  </si>
  <si>
    <t>ψ</t>
  </si>
  <si>
    <t>ρ</t>
  </si>
  <si>
    <t>αe</t>
  </si>
  <si>
    <t>Bs</t>
  </si>
  <si>
    <t>抗冲切验算</t>
  </si>
  <si>
    <t>h0</t>
  </si>
  <si>
    <t>临界截面的周长</t>
  </si>
  <si>
    <t>η</t>
  </si>
  <si>
    <t>0.7βhftημmh0</t>
  </si>
  <si>
    <t>Fl</t>
  </si>
  <si>
    <t>柱帽高度</t>
  </si>
  <si>
    <t>柱帽重量</t>
  </si>
  <si>
    <t>(分离式)每平方米造价(元)</t>
  </si>
  <si>
    <t>假定桩长</t>
  </si>
  <si>
    <t>m</t>
  </si>
  <si>
    <t>桩综合单价</t>
  </si>
  <si>
    <t>元/m</t>
  </si>
  <si>
    <t>含桩造价</t>
  </si>
  <si>
    <t>使用荷载</t>
  </si>
  <si>
    <t>设计值</t>
  </si>
  <si>
    <t>标准值</t>
  </si>
  <si>
    <t>准永久组合值</t>
  </si>
  <si>
    <t>柱上与跨中分配系数</t>
  </si>
  <si>
    <t>准永久组合值(用于挠度验算)</t>
  </si>
  <si>
    <t>柱上与跨中分配系数B</t>
  </si>
  <si>
    <t>调幅系数C</t>
  </si>
  <si>
    <t>综合系数AxBxC</t>
  </si>
  <si>
    <r>
      <t>每立方米钢筋量(kg/m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</si>
  <si>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t>结构模型总信息</t>
  </si>
  <si>
    <t>X方向跨数</t>
  </si>
  <si>
    <t>跨</t>
  </si>
  <si>
    <t>Y方向跨数</t>
  </si>
  <si>
    <t>项目名称</t>
  </si>
  <si>
    <r>
      <t>净跨度l</t>
    </r>
    <r>
      <rPr>
        <vertAlign val="subscript"/>
        <sz val="12"/>
        <rFont val="宋体"/>
        <family val="0"/>
      </rPr>
      <t>n</t>
    </r>
  </si>
  <si>
    <t>Y向配筋信息</t>
  </si>
  <si>
    <t>X向配筋信息</t>
  </si>
  <si>
    <t>X向配筋(分离式配筋信息)</t>
  </si>
  <si>
    <t>Y向配筋(分离式配筋信息)</t>
  </si>
  <si>
    <t>支座负筋(50%)</t>
  </si>
  <si>
    <t>通长筋</t>
  </si>
  <si>
    <t>截断筋</t>
  </si>
  <si>
    <t>kN</t>
  </si>
  <si>
    <r>
      <t>平均每平米钢筋重量(kg/m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</si>
  <si>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跨</t>
  </si>
  <si>
    <t>板跨(X向)</t>
  </si>
  <si>
    <t>m</t>
  </si>
  <si>
    <t>Y方向长度</t>
  </si>
  <si>
    <t>X方向长度</t>
  </si>
  <si>
    <t>平均综合造价</t>
  </si>
  <si>
    <r>
      <t>造价指标(元/m</t>
    </r>
    <r>
      <rPr>
        <b/>
        <vertAlign val="superscript"/>
        <sz val="12"/>
        <rFont val="宋体"/>
        <family val="0"/>
      </rPr>
      <t>2</t>
    </r>
    <r>
      <rPr>
        <b/>
        <sz val="12"/>
        <rFont val="宋体"/>
        <family val="0"/>
      </rPr>
      <t>)</t>
    </r>
  </si>
  <si>
    <t>跨中板带跨中挠度</t>
  </si>
  <si>
    <t>板中心挠度(mm)</t>
  </si>
  <si>
    <t>柱上板带跨中挠度(mm)</t>
  </si>
  <si>
    <t>fd/L</t>
  </si>
  <si>
    <r>
      <t>f</t>
    </r>
    <r>
      <rPr>
        <vertAlign val="subscript"/>
        <sz val="10"/>
        <rFont val="宋体"/>
        <family val="0"/>
      </rPr>
      <t>tk</t>
    </r>
  </si>
  <si>
    <r>
      <t>E</t>
    </r>
    <r>
      <rPr>
        <vertAlign val="subscript"/>
        <sz val="10"/>
        <rFont val="宋体"/>
        <family val="0"/>
      </rPr>
      <t>s</t>
    </r>
  </si>
  <si>
    <r>
      <t>ω</t>
    </r>
    <r>
      <rPr>
        <vertAlign val="subscript"/>
        <sz val="10"/>
        <rFont val="宋体"/>
        <family val="0"/>
      </rPr>
      <t>max</t>
    </r>
  </si>
  <si>
    <r>
      <t>h</t>
    </r>
    <r>
      <rPr>
        <vertAlign val="subscript"/>
        <sz val="10"/>
        <rFont val="宋体"/>
        <family val="0"/>
      </rPr>
      <t>0</t>
    </r>
  </si>
  <si>
    <t>板带宽(Y向)</t>
  </si>
  <si>
    <r>
      <t>规范钢筋(mm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/m)</t>
    </r>
  </si>
  <si>
    <r>
      <t>实有钢筋(mm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/m)</t>
    </r>
  </si>
  <si>
    <t>配筋增大比例</t>
  </si>
  <si>
    <t>选筋</t>
  </si>
  <si>
    <t>配筋增大比例</t>
  </si>
  <si>
    <t>最小比例（且&gt;=1）</t>
  </si>
  <si>
    <t>Y向配筋信息</t>
  </si>
  <si>
    <t>对应直径</t>
  </si>
  <si>
    <t xml:space="preserve">X向配筋信息        </t>
  </si>
  <si>
    <t>不考虑</t>
  </si>
  <si>
    <t>活荷不利布置</t>
  </si>
  <si>
    <t>概况</t>
  </si>
  <si>
    <t>deq</t>
  </si>
  <si>
    <t>自动计算裂缝</t>
  </si>
  <si>
    <t>手动选筋计算裂缝</t>
  </si>
  <si>
    <t>实有配筋率ρ</t>
  </si>
  <si>
    <t>计算裂缝(mm)</t>
  </si>
  <si>
    <r>
      <t>(</t>
    </r>
    <r>
      <rPr>
        <sz val="10.5"/>
        <rFont val="宋体"/>
        <family val="0"/>
      </rPr>
      <t>等代框架法</t>
    </r>
    <r>
      <rPr>
        <sz val="10.5"/>
        <rFont val="Times New Roman"/>
        <family val="1"/>
      </rPr>
      <t>)</t>
    </r>
  </si>
  <si>
    <t>一、总信息：</t>
  </si>
  <si>
    <t>混凝土强度</t>
  </si>
  <si>
    <t>板跨(X向)</t>
  </si>
  <si>
    <t>(m)</t>
  </si>
  <si>
    <t>钢筋强度</t>
  </si>
  <si>
    <t>板带宽(Y向)</t>
  </si>
  <si>
    <t>荷载方式</t>
  </si>
  <si>
    <t>板厚</t>
  </si>
  <si>
    <t>(mm)</t>
  </si>
  <si>
    <r>
      <t>(kN/m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</si>
  <si>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二、弯矩及配筋计算：</t>
  </si>
  <si>
    <r>
      <t xml:space="preserve">  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按五跨等跨梁计算弯矩，计算简图如下：</t>
    </r>
  </si>
  <si>
    <t>跨内最大弯矩</t>
  </si>
  <si>
    <t>支座弯矩</t>
  </si>
  <si>
    <r>
      <t>1、</t>
    </r>
    <r>
      <rPr>
        <b/>
        <sz val="7"/>
        <rFont val="Times New Roman"/>
        <family val="1"/>
      </rPr>
      <t xml:space="preserve"> </t>
    </r>
    <r>
      <rPr>
        <b/>
        <sz val="10.5"/>
        <rFont val="Times New Roman"/>
        <family val="1"/>
      </rPr>
      <t>X</t>
    </r>
    <r>
      <rPr>
        <b/>
        <sz val="10.5"/>
        <rFont val="宋体"/>
        <family val="0"/>
      </rPr>
      <t>向弯矩及配筋计算</t>
    </r>
    <r>
      <rPr>
        <sz val="10.5"/>
        <rFont val="宋体"/>
        <family val="0"/>
      </rPr>
      <t>：</t>
    </r>
  </si>
  <si>
    <t xml:space="preserve">            </t>
  </si>
  <si>
    <r>
      <t xml:space="preserve">                          </t>
    </r>
    <r>
      <rPr>
        <sz val="10.5"/>
        <rFont val="宋体"/>
        <family val="0"/>
      </rPr>
      <t>＝</t>
    </r>
    <r>
      <rPr>
        <sz val="10"/>
        <rFont val="Times New Roman"/>
        <family val="1"/>
      </rPr>
      <t>1861.11</t>
    </r>
    <r>
      <rPr>
        <sz val="10.5"/>
        <rFont val="Times New Roman"/>
        <family val="1"/>
      </rPr>
      <t xml:space="preserve"> kN*m</t>
    </r>
  </si>
  <si>
    <r>
      <t>内跨</t>
    </r>
    <r>
      <rPr>
        <sz val="10.5"/>
        <rFont val="Times New Roman"/>
        <family val="1"/>
      </rPr>
      <t>X</t>
    </r>
    <r>
      <rPr>
        <sz val="10.5"/>
        <rFont val="宋体"/>
        <family val="0"/>
      </rPr>
      <t>向总弯矩标准值</t>
    </r>
  </si>
  <si>
    <t>柱上</t>
  </si>
  <si>
    <t>跨中</t>
  </si>
  <si>
    <t>Mc</t>
  </si>
  <si>
    <t>(kNm)</t>
  </si>
  <si>
    <t>M3</t>
  </si>
  <si>
    <t>弯矩系数C</t>
  </si>
  <si>
    <t>柱上与跨中分配系数K</t>
  </si>
  <si>
    <r>
      <t>2、</t>
    </r>
    <r>
      <rPr>
        <b/>
        <sz val="7"/>
        <rFont val="Times New Roman"/>
        <family val="1"/>
      </rPr>
      <t xml:space="preserve"> </t>
    </r>
    <r>
      <rPr>
        <b/>
        <sz val="10.5"/>
        <rFont val="Times New Roman"/>
        <family val="1"/>
      </rPr>
      <t>Y</t>
    </r>
    <r>
      <rPr>
        <b/>
        <sz val="10.5"/>
        <rFont val="宋体"/>
        <family val="0"/>
      </rPr>
      <t>向弯矩及配筋计算：</t>
    </r>
  </si>
  <si>
    <t>二、荷载计算：</t>
  </si>
  <si>
    <r>
      <t>内跨</t>
    </r>
    <r>
      <rPr>
        <sz val="10.5"/>
        <rFont val="Times New Roman"/>
        <family val="1"/>
      </rPr>
      <t>X</t>
    </r>
    <r>
      <rPr>
        <sz val="10.5"/>
        <rFont val="宋体"/>
        <family val="0"/>
      </rPr>
      <t>向总弯矩设计值</t>
    </r>
  </si>
  <si>
    <r>
      <t>截面总弯矩（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</si>
  <si>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板带计算弯矩（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</si>
  <si>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每延米弯矩(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C/B</t>
    </r>
    <r>
      <rPr>
        <sz val="10"/>
        <rFont val="宋体"/>
        <family val="0"/>
      </rPr>
      <t>)</t>
    </r>
  </si>
  <si>
    <r>
      <t>截面总弯矩（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</si>
  <si>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板带计算弯矩（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</si>
  <si>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每延米弯矩(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C/B</t>
    </r>
    <r>
      <rPr>
        <sz val="10"/>
        <rFont val="宋体"/>
        <family val="0"/>
      </rPr>
      <t>)</t>
    </r>
  </si>
  <si>
    <r>
      <t>柱上与跨中分配系数</t>
    </r>
    <r>
      <rPr>
        <sz val="11"/>
        <rFont val="宋体"/>
        <family val="0"/>
      </rPr>
      <t>K</t>
    </r>
  </si>
  <si>
    <r>
      <t>w</t>
    </r>
    <r>
      <rPr>
        <vertAlign val="subscript"/>
        <sz val="10"/>
        <color indexed="60"/>
        <rFont val="宋体"/>
        <family val="0"/>
      </rPr>
      <t>max</t>
    </r>
  </si>
  <si>
    <t>内跨Y向总弯矩标准值</t>
  </si>
  <si>
    <t>内跨Y向总弯矩设计值</t>
  </si>
  <si>
    <r>
      <t>2</t>
    </r>
    <r>
      <rPr>
        <sz val="10.5"/>
        <rFont val="宋体"/>
        <family val="0"/>
      </rPr>
      <t>、板面荷载标准值：</t>
    </r>
  </si>
  <si>
    <t xml:space="preserve">           设计值：</t>
  </si>
  <si>
    <r>
      <t>则</t>
    </r>
    <r>
      <rPr>
        <sz val="10.5"/>
        <rFont val="Times New Roman"/>
        <family val="1"/>
      </rPr>
      <t>X</t>
    </r>
    <r>
      <rPr>
        <sz val="10.5"/>
        <rFont val="宋体"/>
        <family val="0"/>
      </rPr>
      <t>向总弯矩标准值：</t>
    </r>
  </si>
  <si>
    <r>
      <t xml:space="preserve">  X</t>
    </r>
    <r>
      <rPr>
        <sz val="10.5"/>
        <rFont val="宋体"/>
        <family val="0"/>
      </rPr>
      <t>向总弯矩设计值：</t>
    </r>
  </si>
  <si>
    <r>
      <t>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）、柱上板带最大负弯矩：</t>
    </r>
  </si>
  <si>
    <r>
      <t>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）、柱上板带最大正弯矩：</t>
    </r>
  </si>
  <si>
    <r>
      <t>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）、跨中板带最大负弯矩：</t>
    </r>
  </si>
  <si>
    <t>（4）、跨中板带最大正弯矩：</t>
  </si>
  <si>
    <t>则Y向总弯矩标准值：</t>
  </si>
  <si>
    <r>
      <t xml:space="preserve">  Y</t>
    </r>
    <r>
      <rPr>
        <sz val="10.5"/>
        <rFont val="宋体"/>
        <family val="0"/>
      </rPr>
      <t>向总弯矩设计值：</t>
    </r>
  </si>
  <si>
    <r>
      <t xml:space="preserve">           </t>
    </r>
    <r>
      <rPr>
        <sz val="10.5"/>
        <rFont val="宋体"/>
        <family val="0"/>
      </rPr>
      <t>抗弯配筋计算（简化）：</t>
    </r>
  </si>
  <si>
    <r>
      <t xml:space="preserve">           </t>
    </r>
    <r>
      <rPr>
        <sz val="10.5"/>
        <rFont val="宋体"/>
        <family val="0"/>
      </rPr>
      <t>最大裂缝宽度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：</t>
    </r>
  </si>
  <si>
    <t xml:space="preserve">      最大裂缝宽度：</t>
  </si>
  <si>
    <r>
      <t>w</t>
    </r>
    <r>
      <rPr>
        <vertAlign val="subscript"/>
        <sz val="10"/>
        <color indexed="60"/>
        <rFont val="宋体"/>
        <family val="0"/>
      </rPr>
      <t>max</t>
    </r>
  </si>
  <si>
    <r>
      <t xml:space="preserve">            </t>
    </r>
    <r>
      <rPr>
        <sz val="10.5"/>
        <rFont val="宋体"/>
        <family val="0"/>
      </rPr>
      <t>抗弯配筋计算（简化）：</t>
    </r>
  </si>
  <si>
    <r>
      <t xml:space="preserve">            </t>
    </r>
    <r>
      <rPr>
        <sz val="10.5"/>
        <rFont val="宋体"/>
        <family val="0"/>
      </rPr>
      <t>抗弯配筋计算（简化）：</t>
    </r>
  </si>
  <si>
    <r>
      <t xml:space="preserve">         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qk*lx*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ly-2/3*c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  <r>
      <rPr>
        <sz val="10.5"/>
        <rFont val="Times New Roman"/>
        <family val="1"/>
      </rPr>
      <t xml:space="preserve">                      </t>
    </r>
  </si>
  <si>
    <r>
      <t xml:space="preserve">         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qk*ly*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lx-2/3*c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  <r>
      <rPr>
        <sz val="10.5"/>
        <rFont val="Times New Roman"/>
        <family val="1"/>
      </rPr>
      <t xml:space="preserve">                      </t>
    </r>
  </si>
  <si>
    <r>
      <t xml:space="preserve">            M</t>
    </r>
    <r>
      <rPr>
        <vertAlign val="subscript"/>
        <sz val="12"/>
        <rFont val="宋体"/>
        <family val="0"/>
      </rPr>
      <t>总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q*lx*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ly-2/3*c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</si>
  <si>
    <r>
      <t xml:space="preserve">           M</t>
    </r>
    <r>
      <rPr>
        <vertAlign val="subscript"/>
        <sz val="12"/>
        <rFont val="宋体"/>
        <family val="0"/>
      </rPr>
      <t>总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q*ly*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lx-2/3*c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</si>
  <si>
    <t>二、荷载计算：</t>
  </si>
  <si>
    <r>
      <t>2</t>
    </r>
    <r>
      <rPr>
        <sz val="10.5"/>
        <rFont val="宋体"/>
        <family val="0"/>
      </rPr>
      <t>、板面荷载标准值：</t>
    </r>
  </si>
  <si>
    <t xml:space="preserve">           设计值：</t>
  </si>
  <si>
    <r>
      <t>则</t>
    </r>
    <r>
      <rPr>
        <sz val="10.5"/>
        <rFont val="Times New Roman"/>
        <family val="1"/>
      </rPr>
      <t>X</t>
    </r>
    <r>
      <rPr>
        <sz val="10.5"/>
        <rFont val="宋体"/>
        <family val="0"/>
      </rPr>
      <t>向总弯矩标准值：</t>
    </r>
  </si>
  <si>
    <r>
      <t xml:space="preserve">         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qk*ly*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lx-2/3*c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  <r>
      <rPr>
        <sz val="10.5"/>
        <rFont val="Times New Roman"/>
        <family val="1"/>
      </rPr>
      <t xml:space="preserve">                      </t>
    </r>
  </si>
  <si>
    <r>
      <t xml:space="preserve">  X</t>
    </r>
    <r>
      <rPr>
        <sz val="10.5"/>
        <rFont val="宋体"/>
        <family val="0"/>
      </rPr>
      <t>向总弯矩设计值：</t>
    </r>
  </si>
  <si>
    <r>
      <t xml:space="preserve">           M</t>
    </r>
    <r>
      <rPr>
        <vertAlign val="subscript"/>
        <sz val="12"/>
        <rFont val="宋体"/>
        <family val="0"/>
      </rPr>
      <t>总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q*ly*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lx-2/3*c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</si>
  <si>
    <r>
      <t>柱上与跨中分配系数</t>
    </r>
    <r>
      <rPr>
        <sz val="11"/>
        <rFont val="宋体"/>
        <family val="0"/>
      </rPr>
      <t>K</t>
    </r>
  </si>
  <si>
    <r>
      <t>截面总弯矩（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</si>
  <si>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板带计算弯矩（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</si>
  <si>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每延米弯矩(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C/B</t>
    </r>
    <r>
      <rPr>
        <sz val="10"/>
        <rFont val="宋体"/>
        <family val="0"/>
      </rPr>
      <t>)</t>
    </r>
  </si>
  <si>
    <r>
      <t>内跨</t>
    </r>
    <r>
      <rPr>
        <sz val="10.5"/>
        <rFont val="Times New Roman"/>
        <family val="1"/>
      </rPr>
      <t>X</t>
    </r>
    <r>
      <rPr>
        <sz val="10.5"/>
        <rFont val="宋体"/>
        <family val="0"/>
      </rPr>
      <t>向总弯矩设计值</t>
    </r>
  </si>
  <si>
    <r>
      <t>截面总弯矩（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</si>
  <si>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板带计算弯矩（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）</t>
    </r>
  </si>
  <si>
    <r>
      <t>每延米弯矩(</t>
    </r>
    <r>
      <rPr>
        <sz val="10.5"/>
        <rFont val="Times New Roman"/>
        <family val="1"/>
      </rPr>
      <t>M</t>
    </r>
    <r>
      <rPr>
        <vertAlign val="subscript"/>
        <sz val="12"/>
        <rFont val="宋体"/>
        <family val="0"/>
      </rPr>
      <t>总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K</t>
    </r>
    <r>
      <rPr>
        <vertAlign val="subscript"/>
        <sz val="18"/>
        <rFont val="Times New Roman"/>
        <family val="1"/>
      </rPr>
      <t>*</t>
    </r>
    <r>
      <rPr>
        <sz val="10"/>
        <rFont val="Times New Roman"/>
        <family val="1"/>
      </rPr>
      <t>C/B</t>
    </r>
    <r>
      <rPr>
        <sz val="10"/>
        <rFont val="宋体"/>
        <family val="0"/>
      </rPr>
      <t>)</t>
    </r>
  </si>
  <si>
    <r>
      <t>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）、柱上板带最大负弯矩：</t>
    </r>
  </si>
  <si>
    <r>
      <t xml:space="preserve">            </t>
    </r>
    <r>
      <rPr>
        <sz val="10.5"/>
        <rFont val="宋体"/>
        <family val="0"/>
      </rPr>
      <t>抗弯配筋计算（简化）：</t>
    </r>
  </si>
  <si>
    <t xml:space="preserve">      最大裂缝宽度：</t>
  </si>
  <si>
    <r>
      <t>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）、柱上板带最大正弯矩：</t>
    </r>
  </si>
  <si>
    <r>
      <t>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）、跨中板带最大负弯矩：</t>
    </r>
  </si>
  <si>
    <t>（4）、跨中板带最大正弯矩：</t>
  </si>
  <si>
    <t>则Y向总弯矩标准值：</t>
  </si>
  <si>
    <r>
      <t xml:space="preserve">         M</t>
    </r>
    <r>
      <rPr>
        <vertAlign val="subscript"/>
        <sz val="12"/>
        <rFont val="宋体"/>
        <family val="0"/>
      </rPr>
      <t>总</t>
    </r>
    <r>
      <rPr>
        <vertAlign val="subscript"/>
        <sz val="12"/>
        <rFont val="Times New Roman"/>
        <family val="1"/>
      </rPr>
      <t>k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qk*lx*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ly-2/3*c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  <r>
      <rPr>
        <sz val="10.5"/>
        <rFont val="Times New Roman"/>
        <family val="1"/>
      </rPr>
      <t xml:space="preserve">                      </t>
    </r>
  </si>
  <si>
    <r>
      <t xml:space="preserve">  Y</t>
    </r>
    <r>
      <rPr>
        <sz val="10.5"/>
        <rFont val="宋体"/>
        <family val="0"/>
      </rPr>
      <t>向总弯矩设计值：</t>
    </r>
  </si>
  <si>
    <r>
      <t xml:space="preserve">            M</t>
    </r>
    <r>
      <rPr>
        <vertAlign val="subscript"/>
        <sz val="12"/>
        <rFont val="宋体"/>
        <family val="0"/>
      </rPr>
      <t>总</t>
    </r>
    <r>
      <rPr>
        <sz val="10.5"/>
        <rFont val="宋体"/>
        <family val="0"/>
      </rPr>
      <t>＝</t>
    </r>
    <r>
      <rPr>
        <sz val="10.5"/>
        <rFont val="Times New Roman"/>
        <family val="1"/>
      </rPr>
      <t>q*lx*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ly-2/3*c</t>
    </r>
    <r>
      <rPr>
        <sz val="10.5"/>
        <rFont val="宋体"/>
        <family val="0"/>
      </rPr>
      <t>）</t>
    </r>
    <r>
      <rPr>
        <vertAlign val="superscript"/>
        <sz val="10.5"/>
        <rFont val="Times New Roman"/>
        <family val="1"/>
      </rPr>
      <t>2</t>
    </r>
  </si>
  <si>
    <t>内跨Y向总弯矩标准值</t>
  </si>
  <si>
    <t>内跨Y向总弯矩设计值</t>
  </si>
  <si>
    <r>
      <t xml:space="preserve">           </t>
    </r>
    <r>
      <rPr>
        <sz val="10.5"/>
        <rFont val="宋体"/>
        <family val="0"/>
      </rPr>
      <t>最大裂缝宽度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：</t>
    </r>
  </si>
  <si>
    <r>
      <t xml:space="preserve">           </t>
    </r>
    <r>
      <rPr>
        <sz val="10.5"/>
        <rFont val="宋体"/>
        <family val="0"/>
      </rPr>
      <t>抗弯配筋计算（简化）：</t>
    </r>
  </si>
  <si>
    <t>板面恒荷</t>
  </si>
  <si>
    <t>裂缝限值</t>
  </si>
  <si>
    <t>裂缝限值</t>
  </si>
  <si>
    <t>板面恒载</t>
  </si>
  <si>
    <t>板面恒载</t>
  </si>
  <si>
    <t>桩造价</t>
  </si>
  <si>
    <t>元/m2</t>
  </si>
  <si>
    <t>ξ</t>
  </si>
  <si>
    <t>αs</t>
  </si>
  <si>
    <t>γs</t>
  </si>
  <si>
    <r>
      <t xml:space="preserve">           </t>
    </r>
    <r>
      <rPr>
        <sz val="10.5"/>
        <rFont val="宋体"/>
        <family val="0"/>
      </rPr>
      <t>抗弯配筋计算（简化）：</t>
    </r>
  </si>
  <si>
    <t>考虑活荷不利布置组合(仅下部考虑)</t>
  </si>
  <si>
    <t>考虑活荷不利布置组合(仅上部考虑)</t>
  </si>
  <si>
    <t>考虑活荷不利布置组合(全部考虑)</t>
  </si>
  <si>
    <t>考虑(上)</t>
  </si>
  <si>
    <t>考虑(下)</t>
  </si>
  <si>
    <t>考虑(全部)</t>
  </si>
  <si>
    <t>钢筋直径</t>
  </si>
  <si>
    <t>间距</t>
  </si>
  <si>
    <t>实配钢筋</t>
  </si>
  <si>
    <t>实有As</t>
  </si>
  <si>
    <t>配筋增大比例</t>
  </si>
  <si>
    <t>实有配筋率</t>
  </si>
  <si>
    <t>ρte</t>
  </si>
  <si>
    <t>deq</t>
  </si>
  <si>
    <t>σsk</t>
  </si>
  <si>
    <t>ψ</t>
  </si>
  <si>
    <r>
      <t>w</t>
    </r>
    <r>
      <rPr>
        <vertAlign val="subscript"/>
        <sz val="10"/>
        <color indexed="60"/>
        <rFont val="宋体"/>
        <family val="0"/>
      </rPr>
      <t>max</t>
    </r>
  </si>
  <si>
    <t>ρte</t>
  </si>
  <si>
    <t>deq</t>
  </si>
  <si>
    <t>σsk</t>
  </si>
  <si>
    <t>ψ</t>
  </si>
  <si>
    <t>手动选筋(内跨)</t>
  </si>
  <si>
    <t>自动选筋(内跨)</t>
  </si>
  <si>
    <t>板面活载</t>
  </si>
  <si>
    <t>各截面弯矩系数（荷载全跨布置）</t>
  </si>
  <si>
    <t>3、柱帽承受集中轴向压力标准值：</t>
  </si>
  <si>
    <t>手动选筋(内跨)</t>
  </si>
  <si>
    <t>xxx</t>
  </si>
  <si>
    <t>深圳市华鑫基业投资有限公司</t>
  </si>
  <si>
    <t>公司网站</t>
  </si>
  <si>
    <t>免费热线</t>
  </si>
  <si>
    <t>总部地址</t>
  </si>
  <si>
    <t>总部工厂</t>
  </si>
  <si>
    <t>联  系 人</t>
  </si>
  <si>
    <t>手  机 号</t>
  </si>
  <si>
    <t>Q  Q 号</t>
  </si>
  <si>
    <t>传      真</t>
  </si>
  <si>
    <t>http://www.hxjy998.com</t>
  </si>
  <si>
    <t>400-9977-772</t>
  </si>
  <si>
    <t>深圳市·龙华新区·观澜泗黎路·华鑫产业园</t>
  </si>
  <si>
    <t>深圳市·福田区·梅林路·人武大厦·902</t>
  </si>
  <si>
    <t>林先生</t>
  </si>
  <si>
    <t>0755-83162572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</si>
</sst>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00_ "/>
    <numFmt numFmtId="181" formatCode="0.00000_ "/>
    <numFmt numFmtId="182" formatCode="0;_ࠀ"/>
    <numFmt numFmtId="183" formatCode="0;_᠀"/>
    <numFmt numFmtId="184" formatCode="0.0;_᠀"/>
    <numFmt numFmtId="185" formatCode="0.0_);[Red]\(0.0\)"/>
    <numFmt numFmtId="186" formatCode="0.0000_);[Red]\(0.0000\)"/>
    <numFmt numFmtId="187" formatCode="0.000_);[Red]\(0.000\)"/>
    <numFmt numFmtId="188" formatCode="0.00_);[Red]\(0.00\)"/>
    <numFmt numFmtId="189" formatCode="0.0;_ࠀ"/>
    <numFmt numFmtId="190" formatCode="0.00;_ࠀ"/>
    <numFmt numFmtId="191" formatCode="0.00;_᠀"/>
    <numFmt numFmtId="192" formatCode="0.000000_ "/>
    <numFmt numFmtId="193" formatCode="0.00000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_ "/>
    <numFmt numFmtId="199" formatCode="0.0000%"/>
    <numFmt numFmtId="200" formatCode="0.000%"/>
  </numFmts>
  <fonts count="9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u val="single"/>
      <sz val="12"/>
      <color indexed="12"/>
      <name val="宋体"/>
      <family val="0"/>
    </font>
    <font>
      <sz val="10"/>
      <color indexed="63"/>
      <name val="Times New Roman"/>
      <family val="1"/>
    </font>
    <font>
      <vertAlign val="subscript"/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color indexed="63"/>
      <name val="隶书"/>
      <family val="3"/>
    </font>
    <font>
      <sz val="10"/>
      <color indexed="63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vertAlign val="subscript"/>
      <sz val="12"/>
      <name val="宋体"/>
      <family val="0"/>
    </font>
    <font>
      <b/>
      <sz val="14"/>
      <name val="宋体"/>
      <family val="0"/>
    </font>
    <font>
      <b/>
      <i/>
      <sz val="14"/>
      <name val="宋体"/>
      <family val="0"/>
    </font>
    <font>
      <b/>
      <sz val="12"/>
      <name val="宋体"/>
      <family val="0"/>
    </font>
    <font>
      <b/>
      <vertAlign val="superscript"/>
      <sz val="12"/>
      <name val="宋体"/>
      <family val="0"/>
    </font>
    <font>
      <b/>
      <sz val="10"/>
      <color indexed="12"/>
      <name val="宋体"/>
      <family val="0"/>
    </font>
    <font>
      <sz val="12"/>
      <color indexed="10"/>
      <name val="宋体"/>
      <family val="0"/>
    </font>
    <font>
      <sz val="11"/>
      <color indexed="63"/>
      <name val="ˎ̥"/>
      <family val="2"/>
    </font>
    <font>
      <b/>
      <sz val="11"/>
      <color indexed="10"/>
      <name val="宋体"/>
      <family val="0"/>
    </font>
    <font>
      <b/>
      <sz val="12"/>
      <color indexed="12"/>
      <name val="宋体"/>
      <family val="0"/>
    </font>
    <font>
      <sz val="10"/>
      <color indexed="9"/>
      <name val="宋体"/>
      <family val="0"/>
    </font>
    <font>
      <b/>
      <sz val="11"/>
      <color indexed="14"/>
      <name val="宋体"/>
      <family val="0"/>
    </font>
    <font>
      <u val="single"/>
      <sz val="12"/>
      <color indexed="36"/>
      <name val="宋体"/>
      <family val="0"/>
    </font>
    <font>
      <b/>
      <sz val="12"/>
      <color indexed="48"/>
      <name val="宋体"/>
      <family val="0"/>
    </font>
    <font>
      <sz val="10"/>
      <color indexed="12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vertAlign val="superscript"/>
      <sz val="10.5"/>
      <name val="Times New Roman"/>
      <family val="1"/>
    </font>
    <font>
      <b/>
      <sz val="7"/>
      <name val="Times New Roman"/>
      <family val="1"/>
    </font>
    <font>
      <vertAlign val="subscript"/>
      <sz val="18"/>
      <name val="Times New Roman"/>
      <family val="1"/>
    </font>
    <font>
      <sz val="10"/>
      <color indexed="10"/>
      <name val="宋体"/>
      <family val="0"/>
    </font>
    <font>
      <vertAlign val="subscript"/>
      <sz val="12"/>
      <name val="Times New Roman"/>
      <family val="1"/>
    </font>
    <font>
      <sz val="11"/>
      <name val="宋体"/>
      <family val="0"/>
    </font>
    <font>
      <sz val="10"/>
      <color indexed="60"/>
      <name val="宋体"/>
      <family val="0"/>
    </font>
    <font>
      <sz val="12"/>
      <color indexed="60"/>
      <name val="宋体"/>
      <family val="0"/>
    </font>
    <font>
      <i/>
      <sz val="10"/>
      <color indexed="60"/>
      <name val="宋体"/>
      <family val="0"/>
    </font>
    <font>
      <vertAlign val="subscript"/>
      <sz val="10"/>
      <color indexed="60"/>
      <name val="宋体"/>
      <family val="0"/>
    </font>
    <font>
      <sz val="12"/>
      <color indexed="53"/>
      <name val="宋体"/>
      <family val="0"/>
    </font>
    <font>
      <sz val="11"/>
      <color indexed="10"/>
      <name val="宋体"/>
      <family val="0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4"/>
      <name val="宋体"/>
      <family val="0"/>
    </font>
    <font>
      <vertAlign val="superscript"/>
      <sz val="12"/>
      <name val="宋体"/>
      <family val="0"/>
    </font>
    <font>
      <sz val="12"/>
      <color indexed="55"/>
      <name val="宋体"/>
      <family val="0"/>
    </font>
    <font>
      <sz val="10"/>
      <color indexed="20"/>
      <name val="宋体"/>
      <family val="0"/>
    </font>
    <font>
      <sz val="8.75"/>
      <color indexed="8"/>
      <name val="宋体"/>
      <family val="0"/>
    </font>
    <font>
      <sz val="18"/>
      <name val="方正正中黑简体"/>
      <family val="0"/>
    </font>
    <font>
      <u val="single"/>
      <sz val="12"/>
      <color indexed="12"/>
      <name val="方正正中黑简体"/>
      <family val="0"/>
    </font>
    <font>
      <sz val="12"/>
      <name val="方正正中黑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45"/>
      <color indexed="8"/>
      <name val="方正正粗黑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45"/>
      <color theme="1"/>
      <name val="方正正粗黑简体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double"/>
    </border>
    <border>
      <left style="hair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Dot"/>
      <right style="dashed"/>
      <top style="dashed"/>
      <bottom style="dashed"/>
    </border>
    <border>
      <left style="mediumDashDot"/>
      <right style="dashed"/>
      <top style="dashed"/>
      <bottom style="mediumDashDot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DashDot"/>
    </border>
    <border>
      <left style="dashed"/>
      <right style="mediumDashDot"/>
      <top style="dashed"/>
      <bottom style="dashed"/>
    </border>
    <border>
      <left style="dashed"/>
      <right style="mediumDashDot"/>
      <top style="dashed"/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22" borderId="5" applyNumberFormat="0" applyAlignment="0" applyProtection="0"/>
    <xf numFmtId="0" fontId="85" fillId="23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9" fillId="30" borderId="0" applyNumberFormat="0" applyBorder="0" applyAlignment="0" applyProtection="0"/>
    <xf numFmtId="0" fontId="90" fillId="22" borderId="8" applyNumberFormat="0" applyAlignment="0" applyProtection="0"/>
    <xf numFmtId="0" fontId="91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33" borderId="10" xfId="40" applyFont="1" applyFill="1" applyBorder="1" applyAlignment="1">
      <alignment horizontal="center"/>
      <protection/>
    </xf>
    <xf numFmtId="0" fontId="5" fillId="33" borderId="11" xfId="40" applyFont="1" applyFill="1" applyBorder="1" applyAlignment="1">
      <alignment horizontal="center"/>
      <protection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34" borderId="0" xfId="40" applyFont="1" applyFill="1" applyBorder="1">
      <alignment/>
      <protection/>
    </xf>
    <xf numFmtId="176" fontId="8" fillId="0" borderId="23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" fillId="34" borderId="0" xfId="40" applyFont="1" applyFill="1" applyBorder="1">
      <alignment/>
      <protection/>
    </xf>
    <xf numFmtId="0" fontId="13" fillId="33" borderId="30" xfId="40" applyFont="1" applyFill="1" applyBorder="1" applyAlignment="1">
      <alignment horizontal="center"/>
      <protection/>
    </xf>
    <xf numFmtId="0" fontId="5" fillId="33" borderId="31" xfId="40" applyFont="1" applyFill="1" applyBorder="1" applyAlignment="1">
      <alignment horizontal="center"/>
      <protection/>
    </xf>
    <xf numFmtId="0" fontId="5" fillId="33" borderId="32" xfId="40" applyFont="1" applyFill="1" applyBorder="1" applyAlignment="1">
      <alignment horizontal="center"/>
      <protection/>
    </xf>
    <xf numFmtId="0" fontId="13" fillId="33" borderId="33" xfId="40" applyFont="1" applyFill="1" applyBorder="1" applyAlignment="1">
      <alignment horizontal="center"/>
      <protection/>
    </xf>
    <xf numFmtId="0" fontId="5" fillId="33" borderId="34" xfId="40" applyFont="1" applyFill="1" applyBorder="1" applyAlignment="1">
      <alignment horizontal="center"/>
      <protection/>
    </xf>
    <xf numFmtId="0" fontId="13" fillId="35" borderId="35" xfId="40" applyFont="1" applyFill="1" applyBorder="1">
      <alignment/>
      <protection/>
    </xf>
    <xf numFmtId="0" fontId="13" fillId="35" borderId="35" xfId="40" applyFont="1" applyFill="1" applyBorder="1" applyAlignment="1">
      <alignment horizontal="center"/>
      <protection/>
    </xf>
    <xf numFmtId="0" fontId="13" fillId="35" borderId="36" xfId="40" applyFont="1" applyFill="1" applyBorder="1">
      <alignment/>
      <protection/>
    </xf>
    <xf numFmtId="0" fontId="13" fillId="36" borderId="35" xfId="40" applyFont="1" applyFill="1" applyBorder="1">
      <alignment/>
      <protection/>
    </xf>
    <xf numFmtId="0" fontId="13" fillId="36" borderId="35" xfId="40" applyFont="1" applyFill="1" applyBorder="1" applyAlignment="1">
      <alignment horizontal="center"/>
      <protection/>
    </xf>
    <xf numFmtId="0" fontId="13" fillId="36" borderId="36" xfId="40" applyFont="1" applyFill="1" applyBorder="1">
      <alignment/>
      <protection/>
    </xf>
    <xf numFmtId="0" fontId="5" fillId="33" borderId="37" xfId="40" applyFont="1" applyFill="1" applyBorder="1" applyAlignment="1">
      <alignment horizontal="center"/>
      <protection/>
    </xf>
    <xf numFmtId="0" fontId="13" fillId="35" borderId="38" xfId="40" applyFont="1" applyFill="1" applyBorder="1">
      <alignment/>
      <protection/>
    </xf>
    <xf numFmtId="0" fontId="13" fillId="35" borderId="38" xfId="40" applyFont="1" applyFill="1" applyBorder="1" applyAlignment="1">
      <alignment horizontal="center"/>
      <protection/>
    </xf>
    <xf numFmtId="0" fontId="13" fillId="35" borderId="39" xfId="40" applyFont="1" applyFill="1" applyBorder="1">
      <alignment/>
      <protection/>
    </xf>
    <xf numFmtId="0" fontId="14" fillId="33" borderId="40" xfId="40" applyFont="1" applyFill="1" applyBorder="1" applyAlignment="1">
      <alignment horizontal="center" vertical="center"/>
      <protection/>
    </xf>
    <xf numFmtId="0" fontId="15" fillId="33" borderId="40" xfId="40" applyFont="1" applyFill="1" applyBorder="1" applyAlignment="1">
      <alignment horizontal="center" vertical="center"/>
      <protection/>
    </xf>
    <xf numFmtId="0" fontId="15" fillId="33" borderId="41" xfId="40" applyFont="1" applyFill="1" applyBorder="1" applyAlignment="1">
      <alignment horizontal="center" vertical="center"/>
      <protection/>
    </xf>
    <xf numFmtId="0" fontId="15" fillId="33" borderId="42" xfId="40" applyFont="1" applyFill="1" applyBorder="1" applyAlignment="1">
      <alignment horizontal="center" vertical="center"/>
      <protection/>
    </xf>
    <xf numFmtId="0" fontId="14" fillId="35" borderId="42" xfId="40" applyFont="1" applyFill="1" applyBorder="1" applyAlignment="1">
      <alignment vertical="center"/>
      <protection/>
    </xf>
    <xf numFmtId="0" fontId="14" fillId="35" borderId="43" xfId="40" applyFont="1" applyFill="1" applyBorder="1" applyAlignment="1">
      <alignment vertical="center"/>
      <protection/>
    </xf>
    <xf numFmtId="0" fontId="15" fillId="33" borderId="44" xfId="40" applyFont="1" applyFill="1" applyBorder="1" applyAlignment="1">
      <alignment horizontal="center" vertical="center"/>
      <protection/>
    </xf>
    <xf numFmtId="0" fontId="14" fillId="35" borderId="44" xfId="40" applyFont="1" applyFill="1" applyBorder="1" applyAlignment="1">
      <alignment vertical="center"/>
      <protection/>
    </xf>
    <xf numFmtId="0" fontId="14" fillId="35" borderId="45" xfId="40" applyFont="1" applyFill="1" applyBorder="1" applyAlignment="1">
      <alignment vertical="center"/>
      <protection/>
    </xf>
    <xf numFmtId="0" fontId="2" fillId="0" borderId="0" xfId="0" applyFont="1" applyAlignment="1">
      <alignment vertical="center" wrapText="1"/>
    </xf>
    <xf numFmtId="178" fontId="2" fillId="0" borderId="0" xfId="0" applyNumberFormat="1" applyFont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35" xfId="0" applyFont="1" applyBorder="1" applyAlignment="1" applyProtection="1">
      <alignment horizontal="center" vertical="center"/>
      <protection hidden="1"/>
    </xf>
    <xf numFmtId="176" fontId="2" fillId="0" borderId="35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 applyProtection="1">
      <alignment horizontal="center" vertical="center"/>
      <protection hidden="1"/>
    </xf>
    <xf numFmtId="0" fontId="0" fillId="0" borderId="46" xfId="0" applyBorder="1" applyAlignment="1">
      <alignment vertical="center"/>
    </xf>
    <xf numFmtId="0" fontId="2" fillId="0" borderId="46" xfId="0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176" fontId="2" fillId="0" borderId="38" xfId="0" applyNumberFormat="1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36" borderId="15" xfId="0" applyNumberFormat="1" applyFont="1" applyFill="1" applyBorder="1" applyAlignment="1">
      <alignment horizontal="center" vertical="center"/>
    </xf>
    <xf numFmtId="176" fontId="2" fillId="36" borderId="14" xfId="0" applyNumberFormat="1" applyFont="1" applyFill="1" applyBorder="1" applyAlignment="1">
      <alignment horizontal="center" vertical="center"/>
    </xf>
    <xf numFmtId="176" fontId="2" fillId="36" borderId="13" xfId="0" applyNumberFormat="1" applyFont="1" applyFill="1" applyBorder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178" fontId="2" fillId="39" borderId="15" xfId="0" applyNumberFormat="1" applyFont="1" applyFill="1" applyBorder="1" applyAlignment="1">
      <alignment horizontal="center" vertical="center"/>
    </xf>
    <xf numFmtId="178" fontId="2" fillId="39" borderId="14" xfId="0" applyNumberFormat="1" applyFont="1" applyFill="1" applyBorder="1" applyAlignment="1">
      <alignment horizontal="center" vertical="center"/>
    </xf>
    <xf numFmtId="178" fontId="2" fillId="39" borderId="13" xfId="0" applyNumberFormat="1" applyFont="1" applyFill="1" applyBorder="1" applyAlignment="1">
      <alignment horizontal="center" vertical="center"/>
    </xf>
    <xf numFmtId="178" fontId="2" fillId="39" borderId="23" xfId="0" applyNumberFormat="1" applyFont="1" applyFill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178" fontId="2" fillId="39" borderId="29" xfId="0" applyNumberFormat="1" applyFont="1" applyFill="1" applyBorder="1" applyAlignment="1">
      <alignment horizontal="center" vertical="center"/>
    </xf>
    <xf numFmtId="176" fontId="2" fillId="39" borderId="18" xfId="0" applyNumberFormat="1" applyFont="1" applyFill="1" applyBorder="1" applyAlignment="1">
      <alignment horizontal="center" vertical="center"/>
    </xf>
    <xf numFmtId="178" fontId="2" fillId="0" borderId="48" xfId="0" applyNumberFormat="1" applyFont="1" applyFill="1" applyBorder="1" applyAlignment="1">
      <alignment horizontal="center" vertical="center"/>
    </xf>
    <xf numFmtId="178" fontId="2" fillId="36" borderId="35" xfId="0" applyNumberFormat="1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176" fontId="2" fillId="36" borderId="35" xfId="0" applyNumberFormat="1" applyFont="1" applyFill="1" applyBorder="1" applyAlignment="1">
      <alignment horizontal="center" vertical="center"/>
    </xf>
    <xf numFmtId="179" fontId="2" fillId="36" borderId="35" xfId="0" applyNumberFormat="1" applyFont="1" applyFill="1" applyBorder="1" applyAlignment="1">
      <alignment horizontal="center" vertical="center"/>
    </xf>
    <xf numFmtId="176" fontId="2" fillId="36" borderId="3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76" fontId="7" fillId="0" borderId="35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49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39" borderId="35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8" fontId="2" fillId="39" borderId="5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6" fontId="2" fillId="0" borderId="52" xfId="0" applyNumberFormat="1" applyFont="1" applyBorder="1" applyAlignment="1">
      <alignment horizontal="center" vertical="center"/>
    </xf>
    <xf numFmtId="186" fontId="21" fillId="0" borderId="53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26" fillId="40" borderId="53" xfId="0" applyNumberFormat="1" applyFont="1" applyFill="1" applyBorder="1" applyAlignment="1">
      <alignment horizontal="center" vertical="center"/>
    </xf>
    <xf numFmtId="186" fontId="2" fillId="0" borderId="54" xfId="0" applyNumberFormat="1" applyFont="1" applyBorder="1" applyAlignment="1">
      <alignment horizontal="center" vertical="center"/>
    </xf>
    <xf numFmtId="186" fontId="21" fillId="0" borderId="31" xfId="0" applyNumberFormat="1" applyFont="1" applyFill="1" applyBorder="1" applyAlignment="1">
      <alignment horizontal="center" vertical="center"/>
    </xf>
    <xf numFmtId="186" fontId="21" fillId="0" borderId="55" xfId="0" applyNumberFormat="1" applyFont="1" applyFill="1" applyBorder="1" applyAlignment="1">
      <alignment horizontal="center" vertical="center"/>
    </xf>
    <xf numFmtId="178" fontId="26" fillId="39" borderId="35" xfId="0" applyNumberFormat="1" applyFont="1" applyFill="1" applyBorder="1" applyAlignment="1">
      <alignment horizontal="center" vertical="center"/>
    </xf>
    <xf numFmtId="186" fontId="2" fillId="0" borderId="56" xfId="0" applyNumberFormat="1" applyFont="1" applyBorder="1" applyAlignment="1">
      <alignment horizontal="center" vertical="center"/>
    </xf>
    <xf numFmtId="186" fontId="21" fillId="0" borderId="57" xfId="0" applyNumberFormat="1" applyFont="1" applyFill="1" applyBorder="1" applyAlignment="1">
      <alignment horizontal="center" vertical="center"/>
    </xf>
    <xf numFmtId="186" fontId="21" fillId="0" borderId="58" xfId="0" applyNumberFormat="1" applyFont="1" applyFill="1" applyBorder="1" applyAlignment="1">
      <alignment horizontal="center" vertical="center"/>
    </xf>
    <xf numFmtId="0" fontId="0" fillId="35" borderId="5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/>
    </xf>
    <xf numFmtId="192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6" fontId="2" fillId="35" borderId="0" xfId="0" applyNumberFormat="1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78" fontId="2" fillId="35" borderId="35" xfId="0" applyNumberFormat="1" applyFont="1" applyFill="1" applyBorder="1" applyAlignment="1">
      <alignment horizontal="center" vertical="center"/>
    </xf>
    <xf numFmtId="176" fontId="2" fillId="39" borderId="35" xfId="0" applyNumberFormat="1" applyFont="1" applyFill="1" applyBorder="1" applyAlignment="1">
      <alignment horizontal="center" vertical="center"/>
    </xf>
    <xf numFmtId="176" fontId="7" fillId="0" borderId="51" xfId="0" applyNumberFormat="1" applyFont="1" applyFill="1" applyBorder="1" applyAlignment="1">
      <alignment horizontal="center" vertical="center"/>
    </xf>
    <xf numFmtId="178" fontId="2" fillId="35" borderId="60" xfId="0" applyNumberFormat="1" applyFont="1" applyFill="1" applyBorder="1" applyAlignment="1">
      <alignment horizontal="center" vertical="center"/>
    </xf>
    <xf numFmtId="176" fontId="2" fillId="39" borderId="60" xfId="0" applyNumberFormat="1" applyFont="1" applyFill="1" applyBorder="1" applyAlignment="1">
      <alignment horizontal="center" vertical="center"/>
    </xf>
    <xf numFmtId="178" fontId="2" fillId="36" borderId="60" xfId="0" applyNumberFormat="1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center" vertical="center"/>
    </xf>
    <xf numFmtId="10" fontId="2" fillId="0" borderId="61" xfId="0" applyNumberFormat="1" applyFont="1" applyBorder="1" applyAlignment="1">
      <alignment horizontal="center" vertical="center"/>
    </xf>
    <xf numFmtId="10" fontId="2" fillId="0" borderId="62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92" fontId="2" fillId="0" borderId="35" xfId="0" applyNumberFormat="1" applyFont="1" applyBorder="1" applyAlignment="1">
      <alignment horizontal="center" vertical="center"/>
    </xf>
    <xf numFmtId="192" fontId="2" fillId="0" borderId="60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60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8" fontId="2" fillId="36" borderId="64" xfId="0" applyNumberFormat="1" applyFont="1" applyFill="1" applyBorder="1" applyAlignment="1">
      <alignment horizontal="center" vertical="center"/>
    </xf>
    <xf numFmtId="178" fontId="2" fillId="36" borderId="65" xfId="0" applyNumberFormat="1" applyFont="1" applyFill="1" applyBorder="1" applyAlignment="1">
      <alignment horizontal="center" vertical="center"/>
    </xf>
    <xf numFmtId="10" fontId="2" fillId="0" borderId="35" xfId="0" applyNumberFormat="1" applyFont="1" applyFill="1" applyBorder="1" applyAlignment="1">
      <alignment horizontal="center" vertical="center"/>
    </xf>
    <xf numFmtId="10" fontId="2" fillId="0" borderId="51" xfId="0" applyNumberFormat="1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179" fontId="30" fillId="35" borderId="53" xfId="0" applyNumberFormat="1" applyFont="1" applyFill="1" applyBorder="1" applyAlignment="1">
      <alignment horizontal="center" vertical="center"/>
    </xf>
    <xf numFmtId="176" fontId="2" fillId="35" borderId="61" xfId="0" applyNumberFormat="1" applyFont="1" applyFill="1" applyBorder="1" applyAlignment="1">
      <alignment horizontal="center" vertical="center"/>
    </xf>
    <xf numFmtId="176" fontId="2" fillId="35" borderId="6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readingOrder="1"/>
    </xf>
    <xf numFmtId="0" fontId="0" fillId="0" borderId="0" xfId="0" applyAlignment="1">
      <alignment vertical="center" readingOrder="1"/>
    </xf>
    <xf numFmtId="0" fontId="31" fillId="0" borderId="0" xfId="0" applyFont="1" applyAlignment="1">
      <alignment horizontal="center" vertical="center" readingOrder="1"/>
    </xf>
    <xf numFmtId="0" fontId="34" fillId="0" borderId="0" xfId="0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31" fillId="0" borderId="0" xfId="0" applyFont="1" applyAlignment="1">
      <alignment vertical="center" readingOrder="1"/>
    </xf>
    <xf numFmtId="0" fontId="32" fillId="0" borderId="0" xfId="0" applyFont="1" applyAlignment="1">
      <alignment vertical="center" readingOrder="1"/>
    </xf>
    <xf numFmtId="0" fontId="33" fillId="0" borderId="0" xfId="0" applyFont="1" applyAlignment="1">
      <alignment vertical="center" readingOrder="1"/>
    </xf>
    <xf numFmtId="0" fontId="2" fillId="0" borderId="66" xfId="0" applyFont="1" applyBorder="1" applyAlignment="1">
      <alignment vertical="center" readingOrder="1"/>
    </xf>
    <xf numFmtId="0" fontId="2" fillId="0" borderId="36" xfId="0" applyFont="1" applyBorder="1" applyAlignment="1">
      <alignment vertical="center" readingOrder="1"/>
    </xf>
    <xf numFmtId="0" fontId="2" fillId="0" borderId="38" xfId="0" applyFont="1" applyBorder="1" applyAlignment="1">
      <alignment vertical="center" readingOrder="1"/>
    </xf>
    <xf numFmtId="0" fontId="2" fillId="0" borderId="39" xfId="0" applyFont="1" applyBorder="1" applyAlignment="1">
      <alignment vertical="center" readingOrder="1"/>
    </xf>
    <xf numFmtId="0" fontId="2" fillId="0" borderId="35" xfId="0" applyFont="1" applyBorder="1" applyAlignment="1">
      <alignment horizontal="center" vertical="center" readingOrder="1"/>
    </xf>
    <xf numFmtId="0" fontId="33" fillId="0" borderId="0" xfId="0" applyFont="1" applyAlignment="1">
      <alignment horizontal="right" vertical="center" readingOrder="1"/>
    </xf>
    <xf numFmtId="0" fontId="33" fillId="0" borderId="0" xfId="0" applyFont="1" applyAlignment="1">
      <alignment horizontal="left" vertical="center" readingOrder="1"/>
    </xf>
    <xf numFmtId="0" fontId="33" fillId="33" borderId="0" xfId="0" applyFont="1" applyFill="1" applyAlignment="1">
      <alignment vertical="center" readingOrder="1"/>
    </xf>
    <xf numFmtId="0" fontId="0" fillId="33" borderId="0" xfId="0" applyFill="1" applyAlignment="1">
      <alignment vertical="center" readingOrder="1"/>
    </xf>
    <xf numFmtId="0" fontId="2" fillId="0" borderId="37" xfId="0" applyFont="1" applyBorder="1" applyAlignment="1">
      <alignment vertical="center" readingOrder="1"/>
    </xf>
    <xf numFmtId="0" fontId="2" fillId="0" borderId="38" xfId="0" applyFont="1" applyBorder="1" applyAlignment="1">
      <alignment horizontal="center" vertical="center" readingOrder="1"/>
    </xf>
    <xf numFmtId="176" fontId="31" fillId="0" borderId="0" xfId="0" applyNumberFormat="1" applyFont="1" applyAlignment="1">
      <alignment vertical="center" readingOrder="1"/>
    </xf>
    <xf numFmtId="0" fontId="31" fillId="0" borderId="67" xfId="0" applyFont="1" applyBorder="1" applyAlignment="1">
      <alignment vertical="center" readingOrder="1"/>
    </xf>
    <xf numFmtId="0" fontId="31" fillId="0" borderId="67" xfId="0" applyFont="1" applyBorder="1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2" fillId="0" borderId="68" xfId="0" applyFont="1" applyBorder="1" applyAlignment="1">
      <alignment horizontal="center" vertical="center" readingOrder="1"/>
    </xf>
    <xf numFmtId="0" fontId="2" fillId="0" borderId="0" xfId="0" applyFont="1" applyBorder="1" applyAlignment="1">
      <alignment vertical="center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35" xfId="0" applyFont="1" applyBorder="1" applyAlignment="1">
      <alignment horizontal="left" vertical="center" readingOrder="1"/>
    </xf>
    <xf numFmtId="176" fontId="9" fillId="0" borderId="35" xfId="0" applyNumberFormat="1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left" vertical="center" readingOrder="1"/>
    </xf>
    <xf numFmtId="176" fontId="9" fillId="0" borderId="0" xfId="0" applyNumberFormat="1" applyFont="1" applyBorder="1" applyAlignment="1">
      <alignment horizontal="center" vertical="center" readingOrder="1"/>
    </xf>
    <xf numFmtId="0" fontId="17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 readingOrder="1"/>
    </xf>
    <xf numFmtId="0" fontId="2" fillId="0" borderId="34" xfId="0" applyFont="1" applyBorder="1" applyAlignment="1">
      <alignment horizontal="left" vertical="center" readingOrder="1"/>
    </xf>
    <xf numFmtId="0" fontId="30" fillId="41" borderId="68" xfId="0" applyFont="1" applyFill="1" applyBorder="1" applyAlignment="1">
      <alignment horizontal="center" vertical="center" readingOrder="1"/>
    </xf>
    <xf numFmtId="0" fontId="30" fillId="41" borderId="35" xfId="0" applyFont="1" applyFill="1" applyBorder="1" applyAlignment="1">
      <alignment horizontal="center" vertical="center" readingOrder="1"/>
    </xf>
    <xf numFmtId="0" fontId="30" fillId="41" borderId="35" xfId="0" applyNumberFormat="1" applyFont="1" applyFill="1" applyBorder="1" applyAlignment="1">
      <alignment horizontal="center" vertical="center" readingOrder="1"/>
    </xf>
    <xf numFmtId="0" fontId="41" fillId="0" borderId="70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 readingOrder="1"/>
    </xf>
    <xf numFmtId="0" fontId="22" fillId="0" borderId="0" xfId="0" applyFont="1" applyAlignment="1">
      <alignment horizontal="right" vertical="center" readingOrder="1"/>
    </xf>
    <xf numFmtId="0" fontId="22" fillId="0" borderId="0" xfId="0" applyFont="1" applyAlignment="1">
      <alignment horizontal="right" vertical="center"/>
    </xf>
    <xf numFmtId="0" fontId="47" fillId="0" borderId="67" xfId="0" applyFont="1" applyBorder="1" applyAlignment="1">
      <alignment horizontal="right" vertical="center" readingOrder="1"/>
    </xf>
    <xf numFmtId="176" fontId="48" fillId="0" borderId="0" xfId="0" applyNumberFormat="1" applyFont="1" applyBorder="1" applyAlignment="1">
      <alignment horizontal="right" vertical="center" readingOrder="1"/>
    </xf>
    <xf numFmtId="0" fontId="26" fillId="0" borderId="0" xfId="0" applyFont="1" applyAlignment="1">
      <alignment vertical="center" readingOrder="1"/>
    </xf>
    <xf numFmtId="0" fontId="49" fillId="0" borderId="67" xfId="0" applyFont="1" applyBorder="1" applyAlignment="1">
      <alignment vertical="center" readingOrder="1"/>
    </xf>
    <xf numFmtId="0" fontId="26" fillId="0" borderId="0" xfId="0" applyFont="1" applyAlignment="1" applyProtection="1">
      <alignment vertical="center" readingOrder="1"/>
      <protection/>
    </xf>
    <xf numFmtId="0" fontId="30" fillId="41" borderId="38" xfId="0" applyNumberFormat="1" applyFont="1" applyFill="1" applyBorder="1" applyAlignment="1">
      <alignment horizontal="center" vertical="center" readingOrder="1"/>
    </xf>
    <xf numFmtId="179" fontId="30" fillId="41" borderId="68" xfId="0" applyNumberFormat="1" applyFont="1" applyFill="1" applyBorder="1" applyAlignment="1">
      <alignment horizontal="center" vertical="center" readingOrder="1"/>
    </xf>
    <xf numFmtId="179" fontId="30" fillId="41" borderId="35" xfId="0" applyNumberFormat="1" applyFont="1" applyFill="1" applyBorder="1" applyAlignment="1">
      <alignment horizontal="center" vertical="center" readingOrder="1"/>
    </xf>
    <xf numFmtId="176" fontId="50" fillId="0" borderId="35" xfId="0" applyNumberFormat="1" applyFont="1" applyBorder="1" applyAlignment="1">
      <alignment horizontal="center" vertical="center"/>
    </xf>
    <xf numFmtId="176" fontId="50" fillId="0" borderId="35" xfId="0" applyNumberFormat="1" applyFont="1" applyBorder="1" applyAlignment="1" applyProtection="1">
      <alignment horizontal="center" vertical="center"/>
      <protection hidden="1"/>
    </xf>
    <xf numFmtId="179" fontId="2" fillId="41" borderId="0" xfId="0" applyNumberFormat="1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 readingOrder="1"/>
    </xf>
    <xf numFmtId="0" fontId="0" fillId="0" borderId="0" xfId="0" applyFont="1" applyAlignment="1">
      <alignment horizontal="left" vertical="center"/>
    </xf>
    <xf numFmtId="0" fontId="0" fillId="34" borderId="0" xfId="40" applyFont="1" applyFill="1" applyBorder="1" applyAlignment="1">
      <alignment horizontal="left"/>
      <protection/>
    </xf>
    <xf numFmtId="178" fontId="0" fillId="36" borderId="35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 readingOrder="1"/>
    </xf>
    <xf numFmtId="0" fontId="40" fillId="0" borderId="0" xfId="0" applyFont="1" applyAlignment="1">
      <alignment vertical="center"/>
    </xf>
    <xf numFmtId="0" fontId="40" fillId="34" borderId="0" xfId="40" applyFont="1" applyFill="1" applyBorder="1">
      <alignment/>
      <protection/>
    </xf>
    <xf numFmtId="0" fontId="2" fillId="0" borderId="34" xfId="0" applyFont="1" applyBorder="1" applyAlignment="1">
      <alignment horizontal="center" vertical="center" readingOrder="1"/>
    </xf>
    <xf numFmtId="0" fontId="2" fillId="0" borderId="72" xfId="0" applyFont="1" applyBorder="1" applyAlignment="1">
      <alignment horizontal="center" vertical="center" readingOrder="1"/>
    </xf>
    <xf numFmtId="179" fontId="21" fillId="36" borderId="0" xfId="0" applyNumberFormat="1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7" fillId="36" borderId="73" xfId="0" applyFont="1" applyFill="1" applyBorder="1" applyAlignment="1">
      <alignment horizontal="center" vertical="center"/>
    </xf>
    <xf numFmtId="177" fontId="2" fillId="36" borderId="0" xfId="0" applyNumberFormat="1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52" fillId="0" borderId="0" xfId="0" applyFont="1" applyAlignment="1">
      <alignment vertical="center" readingOrder="1"/>
    </xf>
    <xf numFmtId="0" fontId="53" fillId="0" borderId="74" xfId="0" applyFont="1" applyBorder="1" applyAlignment="1">
      <alignment horizontal="left" vertical="center"/>
    </xf>
    <xf numFmtId="0" fontId="53" fillId="0" borderId="75" xfId="0" applyFont="1" applyBorder="1" applyAlignment="1">
      <alignment horizontal="left" vertical="center"/>
    </xf>
    <xf numFmtId="0" fontId="53" fillId="0" borderId="70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readingOrder="1"/>
    </xf>
    <xf numFmtId="0" fontId="0" fillId="0" borderId="0" xfId="0" applyAlignment="1">
      <alignment horizontal="right" vertical="center"/>
    </xf>
    <xf numFmtId="0" fontId="55" fillId="0" borderId="34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6" fillId="0" borderId="36" xfId="41" applyFont="1" applyBorder="1" applyAlignment="1" applyProtection="1">
      <alignment horizontal="center" vertical="center"/>
      <protection/>
    </xf>
    <xf numFmtId="0" fontId="57" fillId="0" borderId="36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44" fontId="92" fillId="42" borderId="77" xfId="44" applyFont="1" applyFill="1" applyBorder="1" applyAlignment="1">
      <alignment horizontal="center" vertical="center"/>
    </xf>
    <xf numFmtId="44" fontId="92" fillId="42" borderId="78" xfId="44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left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2" fillId="43" borderId="47" xfId="0" applyFont="1" applyFill="1" applyBorder="1" applyAlignment="1">
      <alignment horizontal="center" vertical="center"/>
    </xf>
    <xf numFmtId="0" fontId="2" fillId="43" borderId="82" xfId="0" applyFont="1" applyFill="1" applyBorder="1" applyAlignment="1">
      <alignment horizontal="center" vertical="center"/>
    </xf>
    <xf numFmtId="0" fontId="2" fillId="43" borderId="83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10" fontId="2" fillId="35" borderId="89" xfId="0" applyNumberFormat="1" applyFont="1" applyFill="1" applyBorder="1" applyAlignment="1">
      <alignment horizontal="center" vertical="center"/>
    </xf>
    <xf numFmtId="10" fontId="2" fillId="35" borderId="90" xfId="0" applyNumberFormat="1" applyFont="1" applyFill="1" applyBorder="1" applyAlignment="1">
      <alignment horizontal="center" vertical="center"/>
    </xf>
    <xf numFmtId="10" fontId="2" fillId="35" borderId="9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0" fontId="2" fillId="35" borderId="53" xfId="0" applyNumberFormat="1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5" fillId="0" borderId="93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35" borderId="35" xfId="0" applyNumberFormat="1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82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3" borderId="63" xfId="0" applyFont="1" applyFill="1" applyBorder="1" applyAlignment="1">
      <alignment horizontal="center" vertical="center"/>
    </xf>
    <xf numFmtId="0" fontId="2" fillId="43" borderId="64" xfId="0" applyFont="1" applyFill="1" applyBorder="1" applyAlignment="1">
      <alignment horizontal="center" vertical="center"/>
    </xf>
    <xf numFmtId="0" fontId="2" fillId="43" borderId="65" xfId="0" applyFont="1" applyFill="1" applyBorder="1" applyAlignment="1">
      <alignment horizontal="center" vertical="center"/>
    </xf>
    <xf numFmtId="0" fontId="2" fillId="43" borderId="10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3" borderId="101" xfId="0" applyFont="1" applyFill="1" applyBorder="1" applyAlignment="1">
      <alignment horizontal="center" vertical="center"/>
    </xf>
    <xf numFmtId="0" fontId="25" fillId="38" borderId="47" xfId="0" applyFont="1" applyFill="1" applyBorder="1" applyAlignment="1">
      <alignment horizontal="center" vertical="center"/>
    </xf>
    <xf numFmtId="0" fontId="25" fillId="38" borderId="82" xfId="0" applyFont="1" applyFill="1" applyBorder="1" applyAlignment="1">
      <alignment horizontal="center" vertical="center"/>
    </xf>
    <xf numFmtId="0" fontId="25" fillId="38" borderId="83" xfId="0" applyFont="1" applyFill="1" applyBorder="1" applyAlignment="1">
      <alignment horizontal="center" vertical="center"/>
    </xf>
    <xf numFmtId="0" fontId="12" fillId="41" borderId="69" xfId="40" applyFont="1" applyFill="1" applyBorder="1" applyAlignment="1">
      <alignment horizontal="left" vertical="center"/>
      <protection/>
    </xf>
    <xf numFmtId="0" fontId="12" fillId="41" borderId="68" xfId="40" applyFont="1" applyFill="1" applyBorder="1" applyAlignment="1">
      <alignment horizontal="left" vertical="center"/>
      <protection/>
    </xf>
    <xf numFmtId="0" fontId="12" fillId="41" borderId="66" xfId="40" applyFont="1" applyFill="1" applyBorder="1" applyAlignment="1">
      <alignment horizontal="left" vertical="center"/>
      <protection/>
    </xf>
    <xf numFmtId="0" fontId="27" fillId="35" borderId="102" xfId="0" applyFont="1" applyFill="1" applyBorder="1" applyAlignment="1">
      <alignment horizontal="center" vertical="center"/>
    </xf>
    <xf numFmtId="0" fontId="27" fillId="35" borderId="59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 readingOrder="1"/>
    </xf>
    <xf numFmtId="0" fontId="2" fillId="37" borderId="83" xfId="0" applyFont="1" applyFill="1" applyBorder="1" applyAlignment="1">
      <alignment horizontal="center" vertical="center" readingOrder="1"/>
    </xf>
    <xf numFmtId="0" fontId="33" fillId="0" borderId="0" xfId="0" applyFont="1" applyBorder="1" applyAlignment="1">
      <alignment horizontal="center" vertical="center" readingOrder="1"/>
    </xf>
    <xf numFmtId="0" fontId="19" fillId="0" borderId="0" xfId="0" applyFont="1" applyAlignment="1">
      <alignment horizontal="center" vertical="center" readingOrder="1"/>
    </xf>
    <xf numFmtId="0" fontId="2" fillId="0" borderId="35" xfId="0" applyFont="1" applyBorder="1" applyAlignment="1">
      <alignment vertical="center" readingOrder="1"/>
    </xf>
    <xf numFmtId="0" fontId="33" fillId="0" borderId="46" xfId="0" applyFont="1" applyBorder="1" applyAlignment="1">
      <alignment horizontal="center" vertical="center" readingOrder="1"/>
    </xf>
    <xf numFmtId="0" fontId="33" fillId="0" borderId="102" xfId="0" applyFont="1" applyBorder="1" applyAlignment="1">
      <alignment horizontal="center" vertical="center" readingOrder="1"/>
    </xf>
    <xf numFmtId="0" fontId="33" fillId="0" borderId="59" xfId="0" applyFont="1" applyBorder="1" applyAlignment="1">
      <alignment horizontal="center" vertical="center" readingOrder="1"/>
    </xf>
    <xf numFmtId="0" fontId="33" fillId="0" borderId="103" xfId="0" applyFont="1" applyBorder="1" applyAlignment="1">
      <alignment horizontal="center" vertical="center" readingOrder="1"/>
    </xf>
    <xf numFmtId="0" fontId="31" fillId="0" borderId="0" xfId="0" applyFont="1" applyAlignment="1">
      <alignment horizontal="center" vertical="center" readingOrder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受弯构件计算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ill>
        <patternFill>
          <bgColor indexed="39"/>
        </patternFill>
      </fill>
    </dxf>
    <dxf>
      <font>
        <color indexed="10"/>
      </font>
    </dxf>
    <dxf>
      <font>
        <color indexed="16"/>
      </font>
    </dxf>
    <dxf>
      <font>
        <color indexed="16"/>
      </font>
    </dxf>
    <dxf>
      <font>
        <color rgb="FF8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65"/>
          <c:w val="0.91"/>
          <c:h val="0.8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'总参数页'!$K$34:$K$37</c:f>
              <c:numCache/>
            </c:numRef>
          </c:xVal>
          <c:yVal>
            <c:numRef>
              <c:f>'总参数页'!$L$34:$L$37</c:f>
              <c:numCache/>
            </c:numRef>
          </c:yVal>
          <c:smooth val="0"/>
        </c:ser>
        <c:axId val="45820308"/>
        <c:axId val="48647941"/>
      </c:scatterChart>
      <c:valAx>
        <c:axId val="4582030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X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向</a:t>
                </a:r>
              </a:p>
            </c:rich>
          </c:tx>
          <c:layout>
            <c:manualLayout>
              <c:xMode val="factor"/>
              <c:yMode val="factor"/>
              <c:x val="-0.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47941"/>
        <c:crosses val="autoZero"/>
        <c:crossBetween val="midCat"/>
        <c:dispUnits/>
        <c:majorUnit val="1"/>
        <c:minorUnit val="0.5"/>
      </c:valAx>
      <c:valAx>
        <c:axId val="4864794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Y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向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20308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Relationship Id="rId4" Type="http://schemas.openxmlformats.org/officeDocument/2006/relationships/image" Target="../media/image11.wmf" /><Relationship Id="rId5" Type="http://schemas.openxmlformats.org/officeDocument/2006/relationships/image" Target="../media/image12.wmf" /><Relationship Id="rId6" Type="http://schemas.openxmlformats.org/officeDocument/2006/relationships/image" Target="../media/image13.wmf" /><Relationship Id="rId7" Type="http://schemas.openxmlformats.org/officeDocument/2006/relationships/image" Target="../media/image14.w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17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Relationship Id="rId4" Type="http://schemas.openxmlformats.org/officeDocument/2006/relationships/image" Target="../media/image11.wmf" /><Relationship Id="rId5" Type="http://schemas.openxmlformats.org/officeDocument/2006/relationships/image" Target="../media/image12.wmf" /><Relationship Id="rId6" Type="http://schemas.openxmlformats.org/officeDocument/2006/relationships/image" Target="../media/image13.wmf" /><Relationship Id="rId7" Type="http://schemas.openxmlformats.org/officeDocument/2006/relationships/image" Target="../media/image14.w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17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41</xdr:row>
      <xdr:rowOff>28575</xdr:rowOff>
    </xdr:from>
    <xdr:to>
      <xdr:col>15</xdr:col>
      <xdr:colOff>466725</xdr:colOff>
      <xdr:row>61</xdr:row>
      <xdr:rowOff>38100</xdr:rowOff>
    </xdr:to>
    <xdr:graphicFrame>
      <xdr:nvGraphicFramePr>
        <xdr:cNvPr id="1" name="Chart 4"/>
        <xdr:cNvGraphicFramePr/>
      </xdr:nvGraphicFramePr>
      <xdr:xfrm>
        <a:off x="8220075" y="8010525"/>
        <a:ext cx="43148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66675</xdr:rowOff>
    </xdr:from>
    <xdr:to>
      <xdr:col>7</xdr:col>
      <xdr:colOff>476250</xdr:colOff>
      <xdr:row>39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495925"/>
          <a:ext cx="56388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66675</xdr:rowOff>
    </xdr:from>
    <xdr:to>
      <xdr:col>7</xdr:col>
      <xdr:colOff>476250</xdr:colOff>
      <xdr:row>39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495925"/>
          <a:ext cx="56388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xjy998.com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oleObject" Target="../embeddings/oleObject_10_6.bin" /><Relationship Id="rId8" Type="http://schemas.openxmlformats.org/officeDocument/2006/relationships/oleObject" Target="../embeddings/oleObject_10_7.bin" /><Relationship Id="rId9" Type="http://schemas.openxmlformats.org/officeDocument/2006/relationships/oleObject" Target="../embeddings/oleObject_10_8.bin" /><Relationship Id="rId10" Type="http://schemas.openxmlformats.org/officeDocument/2006/relationships/oleObject" Target="../embeddings/oleObject_10_9.bin" /><Relationship Id="rId11" Type="http://schemas.openxmlformats.org/officeDocument/2006/relationships/oleObject" Target="../embeddings/oleObject_10_10.bin" /><Relationship Id="rId12" Type="http://schemas.openxmlformats.org/officeDocument/2006/relationships/oleObject" Target="../embeddings/oleObject_10_11.bin" /><Relationship Id="rId13" Type="http://schemas.openxmlformats.org/officeDocument/2006/relationships/oleObject" Target="../embeddings/oleObject_10_12.bin" /><Relationship Id="rId14" Type="http://schemas.openxmlformats.org/officeDocument/2006/relationships/oleObject" Target="../embeddings/oleObject_10_13.bin" /><Relationship Id="rId15" Type="http://schemas.openxmlformats.org/officeDocument/2006/relationships/oleObject" Target="../embeddings/oleObject_10_14.bin" /><Relationship Id="rId16" Type="http://schemas.openxmlformats.org/officeDocument/2006/relationships/vmlDrawing" Target="../drawings/vmlDrawing4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oleObject" Target="../embeddings/oleObject_11_6.bin" /><Relationship Id="rId8" Type="http://schemas.openxmlformats.org/officeDocument/2006/relationships/oleObject" Target="../embeddings/oleObject_11_7.bin" /><Relationship Id="rId9" Type="http://schemas.openxmlformats.org/officeDocument/2006/relationships/oleObject" Target="../embeddings/oleObject_11_8.bin" /><Relationship Id="rId10" Type="http://schemas.openxmlformats.org/officeDocument/2006/relationships/oleObject" Target="../embeddings/oleObject_11_9.bin" /><Relationship Id="rId11" Type="http://schemas.openxmlformats.org/officeDocument/2006/relationships/oleObject" Target="../embeddings/oleObject_11_10.bin" /><Relationship Id="rId12" Type="http://schemas.openxmlformats.org/officeDocument/2006/relationships/oleObject" Target="../embeddings/oleObject_11_11.bin" /><Relationship Id="rId13" Type="http://schemas.openxmlformats.org/officeDocument/2006/relationships/oleObject" Target="../embeddings/oleObject_11_12.bin" /><Relationship Id="rId14" Type="http://schemas.openxmlformats.org/officeDocument/2006/relationships/oleObject" Target="../embeddings/oleObject_11_13.bin" /><Relationship Id="rId15" Type="http://schemas.openxmlformats.org/officeDocument/2006/relationships/oleObject" Target="../embeddings/oleObject_11_14.bin" /><Relationship Id="rId16" Type="http://schemas.openxmlformats.org/officeDocument/2006/relationships/vmlDrawing" Target="../drawings/vmlDrawing5.vml" /><Relationship Id="rId17" Type="http://schemas.openxmlformats.org/officeDocument/2006/relationships/drawing" Target="../drawings/drawing3.xml" /><Relationship Id="rId18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2" width="8.625" style="0" customWidth="1"/>
    <col min="3" max="3" width="27.50390625" style="12" customWidth="1"/>
    <col min="4" max="4" width="78.625" style="12" customWidth="1"/>
    <col min="5" max="9" width="9.00390625" style="284" customWidth="1"/>
    <col min="10" max="10" width="40.50390625" style="284" customWidth="1"/>
  </cols>
  <sheetData>
    <row r="2" ht="15" thickBot="1"/>
    <row r="3" spans="3:4" ht="60.75" customHeight="1">
      <c r="C3" s="290" t="s">
        <v>410</v>
      </c>
      <c r="D3" s="291"/>
    </row>
    <row r="4" spans="3:4" ht="29.25" customHeight="1">
      <c r="C4" s="285" t="s">
        <v>411</v>
      </c>
      <c r="D4" s="287" t="s">
        <v>419</v>
      </c>
    </row>
    <row r="5" spans="3:4" ht="29.25" customHeight="1">
      <c r="C5" s="285" t="s">
        <v>412</v>
      </c>
      <c r="D5" s="288" t="s">
        <v>420</v>
      </c>
    </row>
    <row r="6" spans="3:4" ht="29.25" customHeight="1">
      <c r="C6" s="285" t="s">
        <v>413</v>
      </c>
      <c r="D6" s="288" t="s">
        <v>422</v>
      </c>
    </row>
    <row r="7" spans="3:4" ht="29.25" customHeight="1">
      <c r="C7" s="285" t="s">
        <v>414</v>
      </c>
      <c r="D7" s="288" t="s">
        <v>421</v>
      </c>
    </row>
    <row r="8" spans="3:4" ht="29.25" customHeight="1">
      <c r="C8" s="285" t="s">
        <v>415</v>
      </c>
      <c r="D8" s="288" t="s">
        <v>423</v>
      </c>
    </row>
    <row r="9" spans="3:4" ht="29.25" customHeight="1">
      <c r="C9" s="285" t="s">
        <v>416</v>
      </c>
      <c r="D9" s="288">
        <v>13823333736</v>
      </c>
    </row>
    <row r="10" spans="3:4" ht="29.25" customHeight="1">
      <c r="C10" s="285" t="s">
        <v>417</v>
      </c>
      <c r="D10" s="288">
        <v>1993212051</v>
      </c>
    </row>
    <row r="11" spans="3:4" ht="29.25" customHeight="1" thickBot="1">
      <c r="C11" s="286" t="s">
        <v>418</v>
      </c>
      <c r="D11" s="289" t="s">
        <v>424</v>
      </c>
    </row>
  </sheetData>
  <sheetProtection/>
  <mergeCells count="1">
    <mergeCell ref="C3:D3"/>
  </mergeCells>
  <hyperlinks>
    <hyperlink ref="D4" r:id="rId1" display="http://www.hxjy998.co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230"/>
  <sheetViews>
    <sheetView zoomScalePageLayoutView="0" workbookViewId="0" topLeftCell="A34">
      <selection activeCell="B3" sqref="B3"/>
    </sheetView>
  </sheetViews>
  <sheetFormatPr defaultColWidth="9.00390625" defaultRowHeight="14.25"/>
  <cols>
    <col min="1" max="1" width="15.50390625" style="0" customWidth="1"/>
    <col min="2" max="9" width="12.625" style="0" customWidth="1"/>
  </cols>
  <sheetData>
    <row r="1" spans="1:9" ht="14.25">
      <c r="A1" s="346" t="s">
        <v>269</v>
      </c>
      <c r="B1" s="347"/>
      <c r="C1" s="347"/>
      <c r="D1" s="347"/>
      <c r="E1" s="347"/>
      <c r="F1" s="347"/>
      <c r="G1" s="347"/>
      <c r="H1" s="347"/>
      <c r="I1" s="348"/>
    </row>
    <row r="2" spans="1:9" ht="14.25">
      <c r="A2" s="343" t="s">
        <v>272</v>
      </c>
      <c r="B2" s="344"/>
      <c r="C2" s="344"/>
      <c r="D2" s="344"/>
      <c r="E2" s="344"/>
      <c r="F2" s="344"/>
      <c r="G2" s="344"/>
      <c r="H2" s="344"/>
      <c r="I2" s="345"/>
    </row>
    <row r="3" spans="1:9" ht="14.25">
      <c r="A3" s="157" t="s">
        <v>104</v>
      </c>
      <c r="B3" s="168">
        <f>IF(B34&gt;1,B30,IF(B42&gt;1,B38,IF(B50&gt;1,B46,IF(B59&gt;1,B55,"直径&gt;=20"))))</f>
        <v>16</v>
      </c>
      <c r="C3" s="168">
        <f aca="true" t="shared" si="0" ref="C3:I3">IF(C34&gt;1,C30,IF(C42&gt;1,C38,IF(C50&gt;1,C46,IF(C59&gt;1,C55,"D&gt;=20"))))</f>
        <v>12</v>
      </c>
      <c r="D3" s="168">
        <f t="shared" si="0"/>
        <v>12</v>
      </c>
      <c r="E3" s="168">
        <f t="shared" si="0"/>
        <v>12</v>
      </c>
      <c r="F3" s="168">
        <f t="shared" si="0"/>
        <v>12</v>
      </c>
      <c r="G3" s="168">
        <f t="shared" si="0"/>
        <v>12</v>
      </c>
      <c r="H3" s="168">
        <f t="shared" si="0"/>
        <v>12</v>
      </c>
      <c r="I3" s="168">
        <f t="shared" si="0"/>
        <v>12</v>
      </c>
    </row>
    <row r="4" spans="1:9" ht="14.25">
      <c r="A4" s="157" t="s">
        <v>105</v>
      </c>
      <c r="B4" s="156">
        <f>IF(INT(1000/('Y向计算'!B$19/(B3^2*PI()/4))/10)*10&gt;200,200,IF(INT(1000/('Y向计算'!B$19/(B3^2*PI()/4))/10)*10&lt;100,100,INT(1000/('Y向计算'!B$19/(B3^2*PI()/4))/10)*10))</f>
        <v>120</v>
      </c>
      <c r="C4" s="156">
        <f>IF(INT(1000/('Y向计算'!C$19/(C3^2*PI()/4))/10)*10&gt;200,200,IF(INT(1000/('Y向计算'!C$19/(C3^2*PI()/4))/10)*10&lt;100,100,INT(1000/('Y向计算'!C$19/(C3^2*PI()/4))/10)*10))</f>
        <v>130</v>
      </c>
      <c r="D4" s="156">
        <f>IF(INT(1000/('Y向计算'!D$19/(D3^2*PI()/4))/10)*10&gt;200,200,IF(INT(1000/('Y向计算'!D$19/(D3^2*PI()/4))/10)*10&lt;100,100,INT(1000/('Y向计算'!D$19/(D3^2*PI()/4))/10)*10))</f>
        <v>200</v>
      </c>
      <c r="E4" s="156">
        <f>IF(INT(1000/('Y向计算'!E$19/(E3^2*PI()/4))/10)*10&gt;200,200,IF(INT(1000/('Y向计算'!E$19/(E3^2*PI()/4))/10)*10&lt;100,100,INT(1000/('Y向计算'!E$19/(E3^2*PI()/4))/10)*10))</f>
        <v>160</v>
      </c>
      <c r="F4" s="156">
        <f>IF(INT(1000/('Y向计算'!F$19/(F3^2*PI()/4))/10)*10&gt;200,200,IF(INT(1000/('Y向计算'!F$19/(F3^2*PI()/4))/10)*10&lt;100,100,INT(1000/('Y向计算'!F$19/(F3^2*PI()/4))/10)*10))</f>
        <v>110</v>
      </c>
      <c r="G4" s="156">
        <f>IF(INT(1000/('Y向计算'!G$19/(G3^2*PI()/4))/10)*10&gt;200,200,IF(INT(1000/('Y向计算'!G$19/(G3^2*PI()/4))/10)*10&lt;100,100,INT(1000/('Y向计算'!G$19/(G3^2*PI()/4))/10)*10))</f>
        <v>200</v>
      </c>
      <c r="H4" s="156">
        <f>IF(INT(1000/('Y向计算'!H$19/(H3^2*PI()/4))/10)*10&gt;200,200,IF(INT(1000/('Y向计算'!H$19/(H3^2*PI()/4))/10)*10&lt;100,100,INT(1000/('Y向计算'!H$19/(H3^2*PI()/4))/10)*10))</f>
        <v>200</v>
      </c>
      <c r="I4" s="156">
        <f>IF(INT(1000/('Y向计算'!I$19/(I3^2*PI()/4))/10)*10&gt;200,200,IF(INT(1000/('Y向计算'!I$19/(I3^2*PI()/4))/10)*10&lt;100,100,INT(1000/('Y向计算'!I$19/(I3^2*PI()/4))/10)*10))</f>
        <v>200</v>
      </c>
    </row>
    <row r="5" spans="1:9" ht="14.25">
      <c r="A5" s="157"/>
      <c r="B5" s="156" t="str">
        <f>"φ"&amp;B3&amp;"@"&amp;B4</f>
        <v>φ16@120</v>
      </c>
      <c r="C5" s="156" t="str">
        <f aca="true" t="shared" si="1" ref="C5:I5">"φ"&amp;C3&amp;"@"&amp;C4</f>
        <v>φ12@130</v>
      </c>
      <c r="D5" s="156" t="str">
        <f t="shared" si="1"/>
        <v>φ12@200</v>
      </c>
      <c r="E5" s="156" t="str">
        <f t="shared" si="1"/>
        <v>φ12@160</v>
      </c>
      <c r="F5" s="156" t="str">
        <f t="shared" si="1"/>
        <v>φ12@110</v>
      </c>
      <c r="G5" s="156" t="str">
        <f t="shared" si="1"/>
        <v>φ12@200</v>
      </c>
      <c r="H5" s="156" t="str">
        <f t="shared" si="1"/>
        <v>φ12@200</v>
      </c>
      <c r="I5" s="156" t="str">
        <f t="shared" si="1"/>
        <v>φ12@200</v>
      </c>
    </row>
    <row r="6" spans="1:9" ht="14.25">
      <c r="A6" s="157" t="s">
        <v>267</v>
      </c>
      <c r="B6" s="156">
        <f>3.14159*B3^2/4*1000/B4</f>
        <v>1675.5146666666665</v>
      </c>
      <c r="C6" s="156">
        <f aca="true" t="shared" si="2" ref="C6:I6">3.14159*C3^2/4*1000/C4</f>
        <v>869.9787692307692</v>
      </c>
      <c r="D6" s="156">
        <f t="shared" si="2"/>
        <v>565.4862</v>
      </c>
      <c r="E6" s="156">
        <f t="shared" si="2"/>
        <v>706.85775</v>
      </c>
      <c r="F6" s="156">
        <f t="shared" si="2"/>
        <v>1028.1567272727273</v>
      </c>
      <c r="G6" s="156">
        <f t="shared" si="2"/>
        <v>565.4862</v>
      </c>
      <c r="H6" s="156">
        <f t="shared" si="2"/>
        <v>565.4862</v>
      </c>
      <c r="I6" s="156">
        <f t="shared" si="2"/>
        <v>565.4862</v>
      </c>
    </row>
    <row r="7" spans="1:13" ht="15" thickBot="1">
      <c r="A7" s="161" t="s">
        <v>268</v>
      </c>
      <c r="B7" s="162">
        <f>B6/'Y向计算'!B$19</f>
        <v>1.0214961019053004</v>
      </c>
      <c r="C7" s="162">
        <f>C6/'Y向计算'!C$19</f>
        <v>1.0168604570610664</v>
      </c>
      <c r="D7" s="162">
        <f>D6/'Y向计算'!D$19</f>
        <v>1.0545197202797205</v>
      </c>
      <c r="E7" s="162">
        <f>E6/'Y向计算'!E$19</f>
        <v>1.0185750629003831</v>
      </c>
      <c r="F7" s="162">
        <f>F6/'Y向计算'!F$19</f>
        <v>1.0288745143148434</v>
      </c>
      <c r="G7" s="162">
        <f>G6/'Y向计算'!G$19</f>
        <v>1.0545197202797205</v>
      </c>
      <c r="H7" s="162">
        <f>H6/'Y向计算'!H$19</f>
        <v>1.0545197202797205</v>
      </c>
      <c r="I7" s="162">
        <f>I6/'Y向计算'!I$19</f>
        <v>1.0545197202797205</v>
      </c>
      <c r="J7" s="1"/>
      <c r="K7" s="1"/>
      <c r="M7" s="1"/>
    </row>
    <row r="8" spans="1:13" ht="15" thickTop="1">
      <c r="A8" s="165"/>
      <c r="B8" s="166"/>
      <c r="C8" s="166"/>
      <c r="D8" s="166"/>
      <c r="E8" s="166"/>
      <c r="F8" s="166"/>
      <c r="G8" s="166"/>
      <c r="H8" s="166"/>
      <c r="I8" s="167"/>
      <c r="J8" s="1"/>
      <c r="K8" s="1"/>
      <c r="M8" s="1"/>
    </row>
    <row r="9" spans="1:13" ht="14.25">
      <c r="A9" s="165"/>
      <c r="B9" s="166"/>
      <c r="C9" s="166"/>
      <c r="D9" s="166"/>
      <c r="E9" s="166"/>
      <c r="F9" s="166"/>
      <c r="G9" s="166"/>
      <c r="H9" s="166"/>
      <c r="I9" s="167"/>
      <c r="J9" s="1"/>
      <c r="K9" s="1"/>
      <c r="M9" s="1"/>
    </row>
    <row r="10" spans="1:9" ht="15" thickBot="1">
      <c r="A10" s="157" t="s">
        <v>271</v>
      </c>
      <c r="B10" s="164">
        <f aca="true" t="shared" si="3" ref="B10:I10">IF(B34&gt;1,MIN(B34,B42,B50,B59),IF(B42&gt;1,MIN(B42,B50,B59),IF(B50&gt;1,MIN(B50,B59),B59)))</f>
        <v>1.0214961019053004</v>
      </c>
      <c r="C10" s="164">
        <f t="shared" si="3"/>
        <v>1.0168604570610664</v>
      </c>
      <c r="D10" s="164">
        <f t="shared" si="3"/>
        <v>1.0545197202797205</v>
      </c>
      <c r="E10" s="164">
        <f t="shared" si="3"/>
        <v>1.0185750629003831</v>
      </c>
      <c r="F10" s="164">
        <f t="shared" si="3"/>
        <v>1.006010636218958</v>
      </c>
      <c r="G10" s="164">
        <f t="shared" si="3"/>
        <v>1.0545197202797205</v>
      </c>
      <c r="H10" s="164">
        <f t="shared" si="3"/>
        <v>1.0545197202797205</v>
      </c>
      <c r="I10" s="164">
        <f t="shared" si="3"/>
        <v>1.0545197202797205</v>
      </c>
    </row>
    <row r="11" spans="1:9" ht="15" thickTop="1">
      <c r="A11" s="157" t="s">
        <v>273</v>
      </c>
      <c r="B11" s="155">
        <f aca="true" t="shared" si="4" ref="B11:I11">IF(B10=B34,B30,IF(B10=B42,B38,IF(B10=B50,B46,B55)))</f>
        <v>16</v>
      </c>
      <c r="C11" s="155">
        <f t="shared" si="4"/>
        <v>12</v>
      </c>
      <c r="D11" s="155">
        <f t="shared" si="4"/>
        <v>12</v>
      </c>
      <c r="E11" s="155">
        <f t="shared" si="4"/>
        <v>12</v>
      </c>
      <c r="F11" s="155">
        <f t="shared" si="4"/>
        <v>16</v>
      </c>
      <c r="G11" s="155">
        <f t="shared" si="4"/>
        <v>12</v>
      </c>
      <c r="H11" s="155">
        <f t="shared" si="4"/>
        <v>12</v>
      </c>
      <c r="I11" s="155">
        <f t="shared" si="4"/>
        <v>12</v>
      </c>
    </row>
    <row r="12" spans="1:13" ht="14.25">
      <c r="A12" s="169"/>
      <c r="B12" s="170"/>
      <c r="C12" s="170"/>
      <c r="D12" s="170"/>
      <c r="E12" s="170"/>
      <c r="F12" s="170"/>
      <c r="G12" s="170"/>
      <c r="H12" s="170"/>
      <c r="I12" s="171"/>
      <c r="J12" s="1"/>
      <c r="K12" s="1"/>
      <c r="M12" s="1"/>
    </row>
    <row r="13" spans="1:13" ht="14.25">
      <c r="A13" s="169"/>
      <c r="B13" s="170"/>
      <c r="C13" s="170"/>
      <c r="D13" s="170"/>
      <c r="E13" s="170"/>
      <c r="F13" s="170"/>
      <c r="G13" s="170"/>
      <c r="H13" s="170"/>
      <c r="I13" s="171"/>
      <c r="J13" s="1"/>
      <c r="K13" s="1"/>
      <c r="M13" s="1"/>
    </row>
    <row r="14" spans="1:13" ht="14.25">
      <c r="A14" s="169"/>
      <c r="B14" s="170"/>
      <c r="C14" s="170"/>
      <c r="D14" s="170"/>
      <c r="E14" s="170"/>
      <c r="F14" s="170"/>
      <c r="G14" s="170"/>
      <c r="H14" s="170"/>
      <c r="I14" s="171"/>
      <c r="J14" s="1"/>
      <c r="K14" s="1"/>
      <c r="M14" s="1"/>
    </row>
    <row r="15" spans="1:13" ht="14.25">
      <c r="A15" s="169"/>
      <c r="B15" s="170"/>
      <c r="C15" s="170"/>
      <c r="D15" s="170"/>
      <c r="E15" s="170"/>
      <c r="F15" s="170"/>
      <c r="G15" s="170"/>
      <c r="H15" s="170"/>
      <c r="I15" s="171"/>
      <c r="J15" s="1"/>
      <c r="K15" s="1"/>
      <c r="M15" s="1"/>
    </row>
    <row r="16" spans="1:13" ht="14.25">
      <c r="A16" s="169"/>
      <c r="B16" s="170"/>
      <c r="C16" s="170"/>
      <c r="D16" s="170"/>
      <c r="E16" s="170"/>
      <c r="F16" s="170"/>
      <c r="G16" s="170"/>
      <c r="H16" s="170"/>
      <c r="I16" s="171"/>
      <c r="J16" s="1"/>
      <c r="K16" s="1"/>
      <c r="M16" s="1"/>
    </row>
    <row r="17" spans="1:13" ht="14.25">
      <c r="A17" s="169"/>
      <c r="B17" s="170"/>
      <c r="C17" s="170"/>
      <c r="D17" s="170"/>
      <c r="E17" s="170"/>
      <c r="F17" s="170"/>
      <c r="G17" s="170"/>
      <c r="H17" s="170"/>
      <c r="I17" s="171"/>
      <c r="J17" s="1"/>
      <c r="K17" s="1"/>
      <c r="M17" s="1"/>
    </row>
    <row r="18" spans="1:13" ht="14.25">
      <c r="A18" s="169"/>
      <c r="B18" s="170"/>
      <c r="C18" s="170"/>
      <c r="D18" s="170"/>
      <c r="E18" s="170"/>
      <c r="F18" s="170"/>
      <c r="G18" s="170"/>
      <c r="H18" s="170"/>
      <c r="I18" s="171"/>
      <c r="J18" s="1"/>
      <c r="K18" s="1"/>
      <c r="M18" s="1"/>
    </row>
    <row r="19" spans="1:13" ht="14.25">
      <c r="A19" s="169"/>
      <c r="B19" s="170"/>
      <c r="C19" s="170"/>
      <c r="D19" s="170"/>
      <c r="E19" s="170"/>
      <c r="F19" s="170"/>
      <c r="G19" s="170"/>
      <c r="H19" s="170"/>
      <c r="I19" s="171"/>
      <c r="J19" s="1"/>
      <c r="K19" s="1"/>
      <c r="M19" s="1"/>
    </row>
    <row r="20" spans="1:13" ht="14.25">
      <c r="A20" s="169"/>
      <c r="B20" s="170"/>
      <c r="C20" s="170"/>
      <c r="D20" s="170"/>
      <c r="E20" s="170"/>
      <c r="F20" s="170"/>
      <c r="G20" s="170"/>
      <c r="H20" s="170"/>
      <c r="I20" s="171"/>
      <c r="J20" s="1"/>
      <c r="K20" s="1"/>
      <c r="M20" s="1"/>
    </row>
    <row r="21" spans="1:13" ht="14.25">
      <c r="A21" s="169"/>
      <c r="B21" s="170"/>
      <c r="C21" s="170"/>
      <c r="D21" s="170"/>
      <c r="E21" s="170"/>
      <c r="F21" s="170"/>
      <c r="G21" s="170"/>
      <c r="H21" s="170"/>
      <c r="I21" s="171"/>
      <c r="J21" s="1"/>
      <c r="K21" s="1"/>
      <c r="M21" s="1"/>
    </row>
    <row r="22" spans="1:13" ht="14.25">
      <c r="A22" s="169"/>
      <c r="B22" s="170"/>
      <c r="C22" s="170"/>
      <c r="D22" s="170"/>
      <c r="E22" s="170"/>
      <c r="F22" s="170"/>
      <c r="G22" s="170"/>
      <c r="H22" s="170"/>
      <c r="I22" s="171"/>
      <c r="J22" s="1"/>
      <c r="K22" s="1"/>
      <c r="M22" s="1"/>
    </row>
    <row r="23" spans="1:13" ht="14.25">
      <c r="A23" s="169"/>
      <c r="B23" s="170"/>
      <c r="C23" s="170"/>
      <c r="D23" s="170"/>
      <c r="E23" s="170"/>
      <c r="F23" s="170"/>
      <c r="G23" s="170"/>
      <c r="H23" s="170"/>
      <c r="I23" s="171"/>
      <c r="J23" s="1"/>
      <c r="K23" s="1"/>
      <c r="M23" s="1"/>
    </row>
    <row r="24" spans="1:13" ht="14.25">
      <c r="A24" s="169"/>
      <c r="B24" s="170"/>
      <c r="C24" s="170"/>
      <c r="D24" s="170"/>
      <c r="E24" s="170"/>
      <c r="F24" s="170"/>
      <c r="G24" s="170"/>
      <c r="H24" s="170"/>
      <c r="I24" s="171"/>
      <c r="J24" s="1"/>
      <c r="K24" s="1"/>
      <c r="M24" s="1"/>
    </row>
    <row r="25" spans="1:13" ht="14.25">
      <c r="A25" s="169"/>
      <c r="B25" s="170"/>
      <c r="C25" s="170"/>
      <c r="D25" s="170"/>
      <c r="E25" s="170"/>
      <c r="F25" s="170"/>
      <c r="G25" s="170"/>
      <c r="H25" s="170"/>
      <c r="I25" s="171"/>
      <c r="J25" s="1"/>
      <c r="K25" s="1"/>
      <c r="M25" s="1"/>
    </row>
    <row r="26" spans="1:13" ht="14.25">
      <c r="A26" s="169"/>
      <c r="B26" s="170"/>
      <c r="C26" s="170"/>
      <c r="D26" s="170"/>
      <c r="E26" s="170"/>
      <c r="F26" s="170"/>
      <c r="G26" s="170"/>
      <c r="H26" s="170"/>
      <c r="I26" s="171"/>
      <c r="J26" s="1"/>
      <c r="K26" s="1"/>
      <c r="M26" s="1"/>
    </row>
    <row r="27" spans="1:13" ht="14.25">
      <c r="A27" s="169"/>
      <c r="B27" s="170"/>
      <c r="C27" s="170"/>
      <c r="D27" s="170"/>
      <c r="E27" s="170"/>
      <c r="F27" s="170"/>
      <c r="G27" s="170"/>
      <c r="H27" s="170"/>
      <c r="I27" s="171"/>
      <c r="J27" s="1"/>
      <c r="K27" s="1"/>
      <c r="M27" s="1"/>
    </row>
    <row r="28" spans="1:13" ht="15" thickBot="1">
      <c r="A28" s="169"/>
      <c r="B28" s="170"/>
      <c r="C28" s="170"/>
      <c r="D28" s="170"/>
      <c r="E28" s="170"/>
      <c r="F28" s="170"/>
      <c r="G28" s="170"/>
      <c r="H28" s="170"/>
      <c r="I28" s="171"/>
      <c r="J28" s="1"/>
      <c r="K28" s="1"/>
      <c r="M28" s="1"/>
    </row>
    <row r="29" spans="1:9" ht="15" thickTop="1">
      <c r="A29" s="340" t="s">
        <v>272</v>
      </c>
      <c r="B29" s="341"/>
      <c r="C29" s="341"/>
      <c r="D29" s="341"/>
      <c r="E29" s="341"/>
      <c r="F29" s="341"/>
      <c r="G29" s="341"/>
      <c r="H29" s="341"/>
      <c r="I29" s="342"/>
    </row>
    <row r="30" spans="1:9" ht="14.25">
      <c r="A30" s="157" t="s">
        <v>104</v>
      </c>
      <c r="B30" s="155">
        <v>12</v>
      </c>
      <c r="C30" s="155">
        <v>12</v>
      </c>
      <c r="D30" s="155">
        <v>12</v>
      </c>
      <c r="E30" s="155">
        <v>12</v>
      </c>
      <c r="F30" s="155">
        <v>12</v>
      </c>
      <c r="G30" s="155">
        <v>12</v>
      </c>
      <c r="H30" s="155">
        <v>12</v>
      </c>
      <c r="I30" s="158">
        <v>12</v>
      </c>
    </row>
    <row r="31" spans="1:9" ht="14.25">
      <c r="A31" s="157" t="s">
        <v>105</v>
      </c>
      <c r="B31" s="156">
        <f>IF(INT(1000/('Y向计算'!B$19/(B30^2*PI()/4))/10)*10&gt;200,200,IF(INT(1000/('Y向计算'!B$19/(B30^2*PI()/4))/10)*10&lt;100,100,INT(1000/('Y向计算'!B$19/(B30^2*PI()/4))/10)*10))</f>
        <v>100</v>
      </c>
      <c r="C31" s="156">
        <f>IF(INT(1000/('Y向计算'!C$19/(C30^2*PI()/4))/10)*10&gt;200,200,IF(INT(1000/('Y向计算'!C$19/(C30^2*PI()/4))/10)*10&lt;100,100,INT(1000/('Y向计算'!C$19/(C30^2*PI()/4))/10)*10))</f>
        <v>130</v>
      </c>
      <c r="D31" s="156">
        <f>IF(INT(1000/('Y向计算'!D$19/(D30^2*PI()/4))/10)*10&gt;200,200,IF(INT(1000/('Y向计算'!D$19/(D30^2*PI()/4))/10)*10&lt;100,100,INT(1000/('Y向计算'!D$19/(D30^2*PI()/4))/10)*10))</f>
        <v>200</v>
      </c>
      <c r="E31" s="156">
        <f>IF(INT(1000/('Y向计算'!E$19/(E30^2*PI()/4))/10)*10&gt;200,200,IF(INT(1000/('Y向计算'!E$19/(E30^2*PI()/4))/10)*10&lt;100,100,INT(1000/('Y向计算'!E$19/(E30^2*PI()/4))/10)*10))</f>
        <v>160</v>
      </c>
      <c r="F31" s="156">
        <f>IF(INT(1000/('Y向计算'!F$19/(F30^2*PI()/4))/10)*10&gt;200,200,IF(INT(1000/('Y向计算'!F$19/(F30^2*PI()/4))/10)*10&lt;100,100,INT(1000/('Y向计算'!F$19/(F30^2*PI()/4))/10)*10))</f>
        <v>110</v>
      </c>
      <c r="G31" s="156">
        <f>IF(INT(1000/('Y向计算'!G$19/(G30^2*PI()/4))/10)*10&gt;200,200,IF(INT(1000/('Y向计算'!G$19/(G30^2*PI()/4))/10)*10&lt;100,100,INT(1000/('Y向计算'!G$19/(G30^2*PI()/4))/10)*10))</f>
        <v>200</v>
      </c>
      <c r="H31" s="156">
        <f>IF(INT(1000/('Y向计算'!H$19/(H30^2*PI()/4))/10)*10&gt;200,200,IF(INT(1000/('Y向计算'!H$19/(H30^2*PI()/4))/10)*10&lt;100,100,INT(1000/('Y向计算'!H$19/(H30^2*PI()/4))/10)*10))</f>
        <v>200</v>
      </c>
      <c r="I31" s="156">
        <f>IF(INT(1000/('Y向计算'!I$19/(I30^2*PI()/4))/10)*10&gt;200,200,IF(INT(1000/('Y向计算'!I$19/(I30^2*PI()/4))/10)*10&lt;100,100,INT(1000/('Y向计算'!I$19/(I30^2*PI()/4))/10)*10))</f>
        <v>200</v>
      </c>
    </row>
    <row r="32" spans="1:9" ht="14.25">
      <c r="A32" s="157"/>
      <c r="B32" s="156" t="str">
        <f>"d"&amp;B30&amp;"@"&amp;B31</f>
        <v>d12@100</v>
      </c>
      <c r="C32" s="156" t="str">
        <f aca="true" t="shared" si="5" ref="C32:I32">"d"&amp;C30&amp;"@"&amp;C31</f>
        <v>d12@130</v>
      </c>
      <c r="D32" s="156" t="str">
        <f t="shared" si="5"/>
        <v>d12@200</v>
      </c>
      <c r="E32" s="156" t="str">
        <f t="shared" si="5"/>
        <v>d12@160</v>
      </c>
      <c r="F32" s="156" t="str">
        <f t="shared" si="5"/>
        <v>d12@110</v>
      </c>
      <c r="G32" s="156" t="str">
        <f t="shared" si="5"/>
        <v>d12@200</v>
      </c>
      <c r="H32" s="156" t="str">
        <f t="shared" si="5"/>
        <v>d12@200</v>
      </c>
      <c r="I32" s="156" t="str">
        <f t="shared" si="5"/>
        <v>d12@200</v>
      </c>
    </row>
    <row r="33" spans="1:9" ht="14.25">
      <c r="A33" s="157" t="s">
        <v>267</v>
      </c>
      <c r="B33" s="156">
        <f>3.14159*B30^2/4*1000/B31</f>
        <v>1130.9724</v>
      </c>
      <c r="C33" s="156">
        <f aca="true" t="shared" si="6" ref="C33:I33">3.14159*C30^2/4*1000/C31</f>
        <v>869.9787692307692</v>
      </c>
      <c r="D33" s="156">
        <f t="shared" si="6"/>
        <v>565.4862</v>
      </c>
      <c r="E33" s="156">
        <f t="shared" si="6"/>
        <v>706.85775</v>
      </c>
      <c r="F33" s="156">
        <f t="shared" si="6"/>
        <v>1028.1567272727273</v>
      </c>
      <c r="G33" s="156">
        <f t="shared" si="6"/>
        <v>565.4862</v>
      </c>
      <c r="H33" s="156">
        <f t="shared" si="6"/>
        <v>565.4862</v>
      </c>
      <c r="I33" s="156">
        <f t="shared" si="6"/>
        <v>565.4862</v>
      </c>
    </row>
    <row r="34" spans="1:9" s="163" customFormat="1" ht="15" thickBot="1">
      <c r="A34" s="161" t="s">
        <v>268</v>
      </c>
      <c r="B34" s="162">
        <f>B33/'Y向计算'!B$19</f>
        <v>0.689509868786078</v>
      </c>
      <c r="C34" s="162">
        <f>C33/'Y向计算'!C$19</f>
        <v>1.0168604570610664</v>
      </c>
      <c r="D34" s="162">
        <f>D33/'Y向计算'!D$19</f>
        <v>1.0545197202797205</v>
      </c>
      <c r="E34" s="162">
        <f>E33/'Y向计算'!E$19</f>
        <v>1.0185750629003831</v>
      </c>
      <c r="F34" s="162">
        <f>F33/'Y向计算'!F$19</f>
        <v>1.0288745143148434</v>
      </c>
      <c r="G34" s="162">
        <f>G33/'Y向计算'!G$19</f>
        <v>1.0545197202797205</v>
      </c>
      <c r="H34" s="162">
        <f>H33/'Y向计算'!H$19</f>
        <v>1.0545197202797205</v>
      </c>
      <c r="I34" s="162">
        <f>I33/'Y向计算'!I$19</f>
        <v>1.0545197202797205</v>
      </c>
    </row>
    <row r="35" spans="2:11" ht="15" thickTop="1">
      <c r="B35" s="160" t="str">
        <f>IF(B33/'Y向计算'!B$19&lt;1," 不足!","")</f>
        <v> 不足!</v>
      </c>
      <c r="C35" s="160">
        <f>IF(C33/'Y向计算'!C$19&lt;1," 不足","")</f>
      </c>
      <c r="D35" s="160">
        <f>IF(D33/'Y向计算'!D$19&lt;1," 不足","")</f>
      </c>
      <c r="E35" s="160">
        <f>IF(E33/'Y向计算'!E$19&lt;1," 不足","")</f>
      </c>
      <c r="F35" s="160">
        <f>IF(F33/'Y向计算'!F$19&lt;1," 不足","")</f>
      </c>
      <c r="G35" s="160">
        <f>IF(G33/'Y向计算'!G$19&lt;1," 不足","")</f>
      </c>
      <c r="H35" s="160">
        <f>IF(H33/'Y向计算'!H$19&lt;1," 不足","")</f>
      </c>
      <c r="I35" s="160">
        <f>IF(I33/'Y向计算'!I$19&lt;1," 不足","")</f>
      </c>
      <c r="K35" s="159" t="e">
        <f>#REF!&amp;","&amp;#REF!</f>
        <v>#REF!</v>
      </c>
    </row>
    <row r="36" ht="15" thickBot="1"/>
    <row r="37" spans="1:9" ht="15" thickTop="1">
      <c r="A37" s="340" t="s">
        <v>272</v>
      </c>
      <c r="B37" s="341"/>
      <c r="C37" s="341"/>
      <c r="D37" s="341"/>
      <c r="E37" s="341"/>
      <c r="F37" s="341"/>
      <c r="G37" s="341"/>
      <c r="H37" s="341"/>
      <c r="I37" s="342"/>
    </row>
    <row r="38" spans="1:9" ht="15" customHeight="1">
      <c r="A38" s="157" t="s">
        <v>104</v>
      </c>
      <c r="B38" s="155">
        <v>14</v>
      </c>
      <c r="C38" s="155">
        <v>14</v>
      </c>
      <c r="D38" s="155">
        <v>14</v>
      </c>
      <c r="E38" s="155">
        <v>14</v>
      </c>
      <c r="F38" s="155">
        <v>14</v>
      </c>
      <c r="G38" s="155">
        <v>14</v>
      </c>
      <c r="H38" s="155">
        <v>14</v>
      </c>
      <c r="I38" s="155">
        <v>14</v>
      </c>
    </row>
    <row r="39" spans="1:9" ht="14.25">
      <c r="A39" s="157" t="s">
        <v>105</v>
      </c>
      <c r="B39" s="156">
        <f>IF(INT(1000/('Y向计算'!B$19/(B38^2*PI()/4))/10)*10&gt;200,200,IF(INT(1000/('Y向计算'!B$19/(B38^2*PI()/4))/10)*10&lt;100,100,INT(1000/('Y向计算'!B$19/(B38^2*PI()/4))/10)*10))</f>
        <v>100</v>
      </c>
      <c r="C39" s="156">
        <f>IF(INT(1000/('Y向计算'!C$19/(C38^2*PI()/4))/10)*10&gt;200,200,IF(INT(1000/('Y向计算'!C$19/(C38^2*PI()/4))/10)*10&lt;100,100,INT(1000/('Y向计算'!C$19/(C38^2*PI()/4))/10)*10))</f>
        <v>170</v>
      </c>
      <c r="D39" s="156">
        <f>IF(INT(1000/('Y向计算'!D$19/(D38^2*PI()/4))/10)*10&gt;200,200,IF(INT(1000/('Y向计算'!D$19/(D38^2*PI()/4))/10)*10&lt;100,100,INT(1000/('Y向计算'!D$19/(D38^2*PI()/4))/10)*10))</f>
        <v>200</v>
      </c>
      <c r="E39" s="156">
        <f>IF(INT(1000/('Y向计算'!E$19/(E38^2*PI()/4))/10)*10&gt;200,200,IF(INT(1000/('Y向计算'!E$19/(E38^2*PI()/4))/10)*10&lt;100,100,INT(1000/('Y向计算'!E$19/(E38^2*PI()/4))/10)*10))</f>
        <v>200</v>
      </c>
      <c r="F39" s="156">
        <f>IF(INT(1000/('Y向计算'!F$19/(F38^2*PI()/4))/10)*10&gt;200,200,IF(INT(1000/('Y向计算'!F$19/(F38^2*PI()/4))/10)*10&lt;100,100,INT(1000/('Y向计算'!F$19/(F38^2*PI()/4))/10)*10))</f>
        <v>150</v>
      </c>
      <c r="G39" s="156">
        <f>IF(INT(1000/('Y向计算'!G$19/(G38^2*PI()/4))/10)*10&gt;200,200,IF(INT(1000/('Y向计算'!G$19/(G38^2*PI()/4))/10)*10&lt;100,100,INT(1000/('Y向计算'!G$19/(G38^2*PI()/4))/10)*10))</f>
        <v>200</v>
      </c>
      <c r="H39" s="156">
        <f>IF(INT(1000/('Y向计算'!H$19/(H38^2*PI()/4))/10)*10&gt;200,200,IF(INT(1000/('Y向计算'!H$19/(H38^2*PI()/4))/10)*10&lt;100,100,INT(1000/('Y向计算'!H$19/(H38^2*PI()/4))/10)*10))</f>
        <v>200</v>
      </c>
      <c r="I39" s="156">
        <f>IF(INT(1000/('Y向计算'!I$19/(I38^2*PI()/4))/10)*10&gt;200,200,IF(INT(1000/('Y向计算'!I$19/(I38^2*PI()/4))/10)*10&lt;100,100,INT(1000/('Y向计算'!I$19/(I38^2*PI()/4))/10)*10))</f>
        <v>200</v>
      </c>
    </row>
    <row r="40" spans="1:9" ht="14.25">
      <c r="A40" s="157"/>
      <c r="B40" s="156" t="str">
        <f>"d"&amp;B38&amp;"@"&amp;B39</f>
        <v>d14@100</v>
      </c>
      <c r="C40" s="156" t="str">
        <f aca="true" t="shared" si="7" ref="C40:I40">"d"&amp;C38&amp;"@"&amp;C39</f>
        <v>d14@170</v>
      </c>
      <c r="D40" s="156" t="str">
        <f t="shared" si="7"/>
        <v>d14@200</v>
      </c>
      <c r="E40" s="156" t="str">
        <f t="shared" si="7"/>
        <v>d14@200</v>
      </c>
      <c r="F40" s="156" t="str">
        <f t="shared" si="7"/>
        <v>d14@150</v>
      </c>
      <c r="G40" s="156" t="str">
        <f t="shared" si="7"/>
        <v>d14@200</v>
      </c>
      <c r="H40" s="156" t="str">
        <f t="shared" si="7"/>
        <v>d14@200</v>
      </c>
      <c r="I40" s="156" t="str">
        <f t="shared" si="7"/>
        <v>d14@200</v>
      </c>
    </row>
    <row r="41" spans="1:9" ht="14.25">
      <c r="A41" s="157" t="s">
        <v>267</v>
      </c>
      <c r="B41" s="156">
        <f>3.14159*B38^2/4*1000/B39</f>
        <v>1539.3790999999997</v>
      </c>
      <c r="C41" s="156">
        <f aca="true" t="shared" si="8" ref="C41:I41">3.14159*C38^2/4*1000/C39</f>
        <v>905.5171176470586</v>
      </c>
      <c r="D41" s="156">
        <f t="shared" si="8"/>
        <v>769.6895499999998</v>
      </c>
      <c r="E41" s="156">
        <f t="shared" si="8"/>
        <v>769.6895499999998</v>
      </c>
      <c r="F41" s="156">
        <f t="shared" si="8"/>
        <v>1026.2527333333333</v>
      </c>
      <c r="G41" s="156">
        <f t="shared" si="8"/>
        <v>769.6895499999998</v>
      </c>
      <c r="H41" s="156">
        <f t="shared" si="8"/>
        <v>769.6895499999998</v>
      </c>
      <c r="I41" s="156">
        <f t="shared" si="8"/>
        <v>769.6895499999998</v>
      </c>
    </row>
    <row r="42" spans="1:9" s="163" customFormat="1" ht="15" thickBot="1">
      <c r="A42" s="161" t="s">
        <v>270</v>
      </c>
      <c r="B42" s="162">
        <f>B41/'Y向计算'!B$19</f>
        <v>0.9384995436254947</v>
      </c>
      <c r="C42" s="162">
        <f>C41/'Y向计算'!C$19</f>
        <v>1.058398874424672</v>
      </c>
      <c r="D42" s="162">
        <f>D41/'Y向计算'!D$19</f>
        <v>1.435318508158508</v>
      </c>
      <c r="E42" s="162">
        <f>E41/'Y向计算'!E$19</f>
        <v>1.109115068491528</v>
      </c>
      <c r="F42" s="162">
        <f>F41/'Y向计算'!F$19</f>
        <v>1.0269691911401861</v>
      </c>
      <c r="G42" s="162">
        <f>G41/'Y向计算'!G$19</f>
        <v>1.435318508158508</v>
      </c>
      <c r="H42" s="162">
        <f>H41/'Y向计算'!H$19</f>
        <v>1.435318508158508</v>
      </c>
      <c r="I42" s="162">
        <f>I41/'Y向计算'!I$19</f>
        <v>1.435318508158508</v>
      </c>
    </row>
    <row r="43" spans="2:9" ht="15" thickTop="1">
      <c r="B43" s="160" t="str">
        <f>IF(B41/'Y向计算'!B$19&lt;1," 不足!","")</f>
        <v> 不足!</v>
      </c>
      <c r="C43" s="160">
        <f>IF(C41/'Y向计算'!C$19&lt;1," 不足!","")</f>
      </c>
      <c r="D43" s="160">
        <f>IF(D41/'Y向计算'!D$19&lt;1," 不足!","")</f>
      </c>
      <c r="E43" s="160">
        <f>IF(E41/'Y向计算'!E$19&lt;1," 不足!","")</f>
      </c>
      <c r="F43" s="160">
        <f>IF(F41/'Y向计算'!F$19&lt;1," 不足!","")</f>
      </c>
      <c r="G43" s="160">
        <f>IF(G41/'Y向计算'!G$19&lt;1," 不足!","")</f>
      </c>
      <c r="H43" s="160">
        <f>IF(H41/'Y向计算'!H$19&lt;1," 不足!","")</f>
      </c>
      <c r="I43" s="160">
        <f>IF(I41/'Y向计算'!I$19&lt;1," 不足!","")</f>
      </c>
    </row>
    <row r="44" ht="15" thickBot="1"/>
    <row r="45" spans="1:9" ht="15" thickTop="1">
      <c r="A45" s="340" t="s">
        <v>272</v>
      </c>
      <c r="B45" s="341"/>
      <c r="C45" s="341"/>
      <c r="D45" s="341"/>
      <c r="E45" s="341"/>
      <c r="F45" s="341"/>
      <c r="G45" s="341"/>
      <c r="H45" s="341"/>
      <c r="I45" s="342"/>
    </row>
    <row r="46" spans="1:9" ht="14.25">
      <c r="A46" s="157" t="s">
        <v>104</v>
      </c>
      <c r="B46" s="155">
        <v>16</v>
      </c>
      <c r="C46" s="155">
        <v>16</v>
      </c>
      <c r="D46" s="155">
        <v>16</v>
      </c>
      <c r="E46" s="155">
        <v>16</v>
      </c>
      <c r="F46" s="155">
        <v>16</v>
      </c>
      <c r="G46" s="155">
        <v>16</v>
      </c>
      <c r="H46" s="155">
        <v>16</v>
      </c>
      <c r="I46" s="155">
        <v>16</v>
      </c>
    </row>
    <row r="47" spans="1:9" ht="14.25">
      <c r="A47" s="157" t="s">
        <v>105</v>
      </c>
      <c r="B47" s="156">
        <f>IF(INT(1000/('Y向计算'!B$19/(B46^2*PI()/4))/10)*10&gt;200,200,IF(INT(1000/('Y向计算'!B$19/(B46^2*PI()/4))/10)*10&lt;100,100,INT(1000/('Y向计算'!B$19/(B46^2*PI()/4))/10)*10))</f>
        <v>120</v>
      </c>
      <c r="C47" s="156">
        <f>IF(INT(1000/('Y向计算'!C$19/(C46^2*PI()/4))/10)*10&gt;200,200,IF(INT(1000/('Y向计算'!C$19/(C46^2*PI()/4))/10)*10&lt;100,100,INT(1000/('Y向计算'!C$19/(C46^2*PI()/4))/10)*10))</f>
        <v>200</v>
      </c>
      <c r="D47" s="156">
        <f>IF(INT(1000/('Y向计算'!D$19/(D46^2*PI()/4))/10)*10&gt;200,200,IF(INT(1000/('Y向计算'!D$19/(D46^2*PI()/4))/10)*10&lt;100,100,INT(1000/('Y向计算'!D$19/(D46^2*PI()/4))/10)*10))</f>
        <v>200</v>
      </c>
      <c r="E47" s="156">
        <f>IF(INT(1000/('Y向计算'!E$19/(E46^2*PI()/4))/10)*10&gt;200,200,IF(INT(1000/('Y向计算'!E$19/(E46^2*PI()/4))/10)*10&lt;100,100,INT(1000/('Y向计算'!E$19/(E46^2*PI()/4))/10)*10))</f>
        <v>200</v>
      </c>
      <c r="F47" s="156">
        <f>IF(INT(1000/('Y向计算'!F$19/(F46^2*PI()/4))/10)*10&gt;200,200,IF(INT(1000/('Y向计算'!F$19/(F46^2*PI()/4))/10)*10&lt;100,100,INT(1000/('Y向计算'!F$19/(F46^2*PI()/4))/10)*10))</f>
        <v>200</v>
      </c>
      <c r="G47" s="156">
        <f>IF(INT(1000/('Y向计算'!G$19/(G46^2*PI()/4))/10)*10&gt;200,200,IF(INT(1000/('Y向计算'!G$19/(G46^2*PI()/4))/10)*10&lt;100,100,INT(1000/('Y向计算'!G$19/(G46^2*PI()/4))/10)*10))</f>
        <v>200</v>
      </c>
      <c r="H47" s="156">
        <f>IF(INT(1000/('Y向计算'!H$19/(H46^2*PI()/4))/10)*10&gt;200,200,IF(INT(1000/('Y向计算'!H$19/(H46^2*PI()/4))/10)*10&lt;100,100,INT(1000/('Y向计算'!H$19/(H46^2*PI()/4))/10)*10))</f>
        <v>200</v>
      </c>
      <c r="I47" s="156">
        <f>IF(INT(1000/('Y向计算'!I$19/(I46^2*PI()/4))/10)*10&gt;200,200,IF(INT(1000/('Y向计算'!I$19/(I46^2*PI()/4))/10)*10&lt;100,100,INT(1000/('Y向计算'!I$19/(I46^2*PI()/4))/10)*10))</f>
        <v>200</v>
      </c>
    </row>
    <row r="48" spans="1:9" ht="14.25">
      <c r="A48" s="157"/>
      <c r="B48" s="156" t="str">
        <f>"d"&amp;B46&amp;"@"&amp;B47</f>
        <v>d16@120</v>
      </c>
      <c r="C48" s="156" t="str">
        <f aca="true" t="shared" si="9" ref="C48:I48">"d"&amp;C46&amp;"@"&amp;C47</f>
        <v>d16@200</v>
      </c>
      <c r="D48" s="156" t="str">
        <f t="shared" si="9"/>
        <v>d16@200</v>
      </c>
      <c r="E48" s="156" t="str">
        <f t="shared" si="9"/>
        <v>d16@200</v>
      </c>
      <c r="F48" s="156" t="str">
        <f t="shared" si="9"/>
        <v>d16@200</v>
      </c>
      <c r="G48" s="156" t="str">
        <f t="shared" si="9"/>
        <v>d16@200</v>
      </c>
      <c r="H48" s="156" t="str">
        <f t="shared" si="9"/>
        <v>d16@200</v>
      </c>
      <c r="I48" s="156" t="str">
        <f t="shared" si="9"/>
        <v>d16@200</v>
      </c>
    </row>
    <row r="49" spans="1:9" ht="14.25">
      <c r="A49" s="157" t="s">
        <v>267</v>
      </c>
      <c r="B49" s="156">
        <f>3.14159*B46^2/4*1000/B47</f>
        <v>1675.5146666666665</v>
      </c>
      <c r="C49" s="156">
        <f aca="true" t="shared" si="10" ref="C49:I49">3.14159*C46^2/4*1000/C47</f>
        <v>1005.3087999999999</v>
      </c>
      <c r="D49" s="156">
        <f t="shared" si="10"/>
        <v>1005.3087999999999</v>
      </c>
      <c r="E49" s="156">
        <f t="shared" si="10"/>
        <v>1005.3087999999999</v>
      </c>
      <c r="F49" s="156">
        <f t="shared" si="10"/>
        <v>1005.3087999999999</v>
      </c>
      <c r="G49" s="156">
        <f t="shared" si="10"/>
        <v>1005.3087999999999</v>
      </c>
      <c r="H49" s="156">
        <f t="shared" si="10"/>
        <v>1005.3087999999999</v>
      </c>
      <c r="I49" s="156">
        <f t="shared" si="10"/>
        <v>1005.3087999999999</v>
      </c>
    </row>
    <row r="50" spans="1:9" s="163" customFormat="1" ht="15" thickBot="1">
      <c r="A50" s="161" t="s">
        <v>270</v>
      </c>
      <c r="B50" s="162">
        <f>B49/'Y向计算'!B$19</f>
        <v>1.0214961019053004</v>
      </c>
      <c r="C50" s="162">
        <f>C49/'Y向计算'!C$19</f>
        <v>1.1750387503816768</v>
      </c>
      <c r="D50" s="162">
        <f>D49/'Y向计算'!D$19</f>
        <v>1.8747017249417253</v>
      </c>
      <c r="E50" s="162">
        <f>E49/'Y向计算'!E$19</f>
        <v>1.4486400894583227</v>
      </c>
      <c r="F50" s="162">
        <f>F49/'Y向计算'!F$19</f>
        <v>1.006010636218958</v>
      </c>
      <c r="G50" s="162">
        <f>G49/'Y向计算'!G$19</f>
        <v>1.8747017249417253</v>
      </c>
      <c r="H50" s="162">
        <f>H49/'Y向计算'!H$19</f>
        <v>1.8747017249417253</v>
      </c>
      <c r="I50" s="162">
        <f>I49/'Y向计算'!I$19</f>
        <v>1.8747017249417253</v>
      </c>
    </row>
    <row r="51" spans="2:9" ht="15" thickTop="1">
      <c r="B51" s="160">
        <f>IF(B49/'Y向计算'!B$19&lt;1," 不足!","")</f>
      </c>
      <c r="C51" s="160">
        <f>IF(C49/'Y向计算'!C$19&lt;1," 不足!","")</f>
      </c>
      <c r="D51" s="160">
        <f>IF(D49/'Y向计算'!D$19&lt;1," 不足!","")</f>
      </c>
      <c r="E51" s="160">
        <f>IF(E49/'Y向计算'!E$19&lt;1," 不足!","")</f>
      </c>
      <c r="F51" s="160">
        <f>IF(F49/'Y向计算'!F$19&lt;1," 不足!","")</f>
      </c>
      <c r="G51" s="160">
        <f>IF(G49/'Y向计算'!G$19&lt;1," 不足!","")</f>
      </c>
      <c r="H51" s="160">
        <f>IF(H49/'Y向计算'!H$19&lt;1," 不足!","")</f>
      </c>
      <c r="I51" s="160">
        <f>IF(I49/'Y向计算'!I$19&lt;1," 不足!","")</f>
      </c>
    </row>
    <row r="53" ht="15" thickBot="1"/>
    <row r="54" spans="1:9" ht="15" thickTop="1">
      <c r="A54" s="340" t="s">
        <v>272</v>
      </c>
      <c r="B54" s="341"/>
      <c r="C54" s="341"/>
      <c r="D54" s="341"/>
      <c r="E54" s="341"/>
      <c r="F54" s="341"/>
      <c r="G54" s="341"/>
      <c r="H54" s="341"/>
      <c r="I54" s="342"/>
    </row>
    <row r="55" spans="1:9" ht="14.25">
      <c r="A55" s="157" t="s">
        <v>104</v>
      </c>
      <c r="B55" s="155">
        <v>18</v>
      </c>
      <c r="C55" s="155">
        <v>18</v>
      </c>
      <c r="D55" s="155">
        <v>18</v>
      </c>
      <c r="E55" s="155">
        <v>18</v>
      </c>
      <c r="F55" s="155">
        <v>18</v>
      </c>
      <c r="G55" s="155">
        <v>18</v>
      </c>
      <c r="H55" s="155">
        <v>18</v>
      </c>
      <c r="I55" s="155">
        <v>18</v>
      </c>
    </row>
    <row r="56" spans="1:9" ht="14.25">
      <c r="A56" s="157" t="s">
        <v>105</v>
      </c>
      <c r="B56" s="156">
        <f>IF(INT(1000/('Y向计算'!B$19/(B55^2*PI()/4))/10)*10&gt;200,200,IF(INT(1000/('Y向计算'!B$19/(B55^2*PI()/4))/10)*10&lt;100,100,INT(1000/('Y向计算'!B$19/(B55^2*PI()/4))/10)*10))</f>
        <v>150</v>
      </c>
      <c r="C56" s="156">
        <f>IF(INT(1000/('Y向计算'!C$19/(C55^2*PI()/4))/10)*10&gt;200,200,IF(INT(1000/('Y向计算'!C$19/(C55^2*PI()/4))/10)*10&lt;100,100,INT(1000/('Y向计算'!C$19/(C55^2*PI()/4))/10)*10))</f>
        <v>200</v>
      </c>
      <c r="D56" s="156">
        <f>IF(INT(1000/('Y向计算'!D$19/(D55^2*PI()/4))/10)*10&gt;200,200,IF(INT(1000/('Y向计算'!D$19/(D55^2*PI()/4))/10)*10&lt;100,100,INT(1000/('Y向计算'!D$19/(D55^2*PI()/4))/10)*10))</f>
        <v>200</v>
      </c>
      <c r="E56" s="156">
        <f>IF(INT(1000/('Y向计算'!E$19/(E55^2*PI()/4))/10)*10&gt;200,200,IF(INT(1000/('Y向计算'!E$19/(E55^2*PI()/4))/10)*10&lt;100,100,INT(1000/('Y向计算'!E$19/(E55^2*PI()/4))/10)*10))</f>
        <v>200</v>
      </c>
      <c r="F56" s="156">
        <f>IF(INT(1000/('Y向计算'!F$19/(F55^2*PI()/4))/10)*10&gt;200,200,IF(INT(1000/('Y向计算'!F$19/(F55^2*PI()/4))/10)*10&lt;100,100,INT(1000/('Y向计算'!F$19/(F55^2*PI()/4))/10)*10))</f>
        <v>200</v>
      </c>
      <c r="G56" s="156">
        <f>IF(INT(1000/('Y向计算'!G$19/(G55^2*PI()/4))/10)*10&gt;200,200,IF(INT(1000/('Y向计算'!G$19/(G55^2*PI()/4))/10)*10&lt;100,100,INT(1000/('Y向计算'!G$19/(G55^2*PI()/4))/10)*10))</f>
        <v>200</v>
      </c>
      <c r="H56" s="156">
        <f>IF(INT(1000/('Y向计算'!H$19/(H55^2*PI()/4))/10)*10&gt;200,200,IF(INT(1000/('Y向计算'!H$19/(H55^2*PI()/4))/10)*10&lt;100,100,INT(1000/('Y向计算'!H$19/(H55^2*PI()/4))/10)*10))</f>
        <v>200</v>
      </c>
      <c r="I56" s="156">
        <f>IF(INT(1000/('Y向计算'!I$19/(I55^2*PI()/4))/10)*10&gt;200,200,IF(INT(1000/('Y向计算'!I$19/(I55^2*PI()/4))/10)*10&lt;100,100,INT(1000/('Y向计算'!I$19/(I55^2*PI()/4))/10)*10))</f>
        <v>200</v>
      </c>
    </row>
    <row r="57" spans="1:9" ht="14.25">
      <c r="A57" s="157"/>
      <c r="B57" s="156" t="str">
        <f>"d"&amp;B55&amp;"@"&amp;B56</f>
        <v>d18@150</v>
      </c>
      <c r="C57" s="156" t="str">
        <f aca="true" t="shared" si="11" ref="C57:I57">"d"&amp;C55&amp;"@"&amp;C56</f>
        <v>d18@200</v>
      </c>
      <c r="D57" s="156" t="str">
        <f t="shared" si="11"/>
        <v>d18@200</v>
      </c>
      <c r="E57" s="156" t="str">
        <f t="shared" si="11"/>
        <v>d18@200</v>
      </c>
      <c r="F57" s="156" t="str">
        <f t="shared" si="11"/>
        <v>d18@200</v>
      </c>
      <c r="G57" s="156" t="str">
        <f t="shared" si="11"/>
        <v>d18@200</v>
      </c>
      <c r="H57" s="156" t="str">
        <f t="shared" si="11"/>
        <v>d18@200</v>
      </c>
      <c r="I57" s="156" t="str">
        <f t="shared" si="11"/>
        <v>d18@200</v>
      </c>
    </row>
    <row r="58" spans="1:9" ht="14.25">
      <c r="A58" s="157" t="s">
        <v>267</v>
      </c>
      <c r="B58" s="156">
        <f>3.14159*B55^2/4*1000/B56</f>
        <v>1696.4586</v>
      </c>
      <c r="C58" s="156">
        <f aca="true" t="shared" si="12" ref="C58:I58">3.14159*C55^2/4*1000/C56</f>
        <v>1272.34395</v>
      </c>
      <c r="D58" s="156">
        <f t="shared" si="12"/>
        <v>1272.34395</v>
      </c>
      <c r="E58" s="156">
        <f t="shared" si="12"/>
        <v>1272.34395</v>
      </c>
      <c r="F58" s="156">
        <f t="shared" si="12"/>
        <v>1272.34395</v>
      </c>
      <c r="G58" s="156">
        <f t="shared" si="12"/>
        <v>1272.34395</v>
      </c>
      <c r="H58" s="156">
        <f t="shared" si="12"/>
        <v>1272.34395</v>
      </c>
      <c r="I58" s="156">
        <f t="shared" si="12"/>
        <v>1272.34395</v>
      </c>
    </row>
    <row r="59" spans="1:9" s="163" customFormat="1" ht="15" thickBot="1">
      <c r="A59" s="161" t="s">
        <v>268</v>
      </c>
      <c r="B59" s="162">
        <f>B58/'Y向计算'!B$19</f>
        <v>1.0342648031791168</v>
      </c>
      <c r="C59" s="162">
        <f>C58/'Y向计算'!C$19</f>
        <v>1.4871584184518096</v>
      </c>
      <c r="D59" s="162">
        <f>D58/'Y向计算'!D$19</f>
        <v>2.372669370629371</v>
      </c>
      <c r="E59" s="162">
        <f>E58/'Y向计算'!E$19</f>
        <v>1.8334351132206896</v>
      </c>
      <c r="F59" s="162">
        <f>F58/'Y向计算'!F$19</f>
        <v>1.2732322114646186</v>
      </c>
      <c r="G59" s="162">
        <f>G58/'Y向计算'!G$19</f>
        <v>2.372669370629371</v>
      </c>
      <c r="H59" s="162">
        <f>H58/'Y向计算'!H$19</f>
        <v>2.372669370629371</v>
      </c>
      <c r="I59" s="162">
        <f>I58/'Y向计算'!I$19</f>
        <v>2.372669370629371</v>
      </c>
    </row>
    <row r="60" spans="2:9" ht="15" thickTop="1">
      <c r="B60" s="160">
        <f>IF(B58/'Y向计算'!B$19&lt;1," 不足!","")</f>
      </c>
      <c r="C60" s="160">
        <f>IF(C58/'Y向计算'!C$19&lt;1," 不足!","")</f>
      </c>
      <c r="D60" s="160">
        <f>IF(D58/'Y向计算'!D$19&lt;1," 不足!","")</f>
      </c>
      <c r="E60" s="160">
        <f>IF(E58/'Y向计算'!E$19&lt;1," 不足!","")</f>
      </c>
      <c r="F60" s="160">
        <f>IF(F58/'Y向计算'!F$19&lt;1," 不足!","")</f>
      </c>
      <c r="G60" s="160">
        <f>IF(G58/'Y向计算'!G$19&lt;1," 不足!","")</f>
      </c>
      <c r="H60" s="160">
        <f>IF(H58/'Y向计算'!H$19&lt;1," 不足!","")</f>
      </c>
      <c r="I60" s="160">
        <f>IF(I58/'Y向计算'!I$19&lt;1," 不足!","")</f>
      </c>
    </row>
    <row r="68" s="163" customFormat="1" ht="14.25"/>
    <row r="96" spans="4:7" ht="14.25">
      <c r="D96" t="str">
        <f>"As＝"&amp;CEILING(D88,0.01)&amp;"*"&amp;10^6&amp;"/("&amp;0.9&amp;"*"&amp;INDEX('混凝土强度和模量'!$B$20:$B$24,'混凝土强度和模量'!$I$20)&amp;"*"&amp;'X向计算'!$F$3-25&amp;")＝"&amp;INT(CEILING(D88,0.01)*10^6/(0.9*INDEX('混凝土强度和模量'!$B$20:$B$24,'混凝土强度和模量'!$I$20)*('X向计算'!$F$3-25)))&amp;" mm2"</f>
        <v>As＝0*1000000/(0.9*300*225)＝0 mm2</v>
      </c>
      <c r="G96" s="264"/>
    </row>
    <row r="104" ht="14.25">
      <c r="D104" s="268" t="str">
        <f>"＝"&amp;CEILING('选筋（X向）'!H18,0.001)&amp;" mm"</f>
        <v>＝0.074 mm</v>
      </c>
    </row>
    <row r="108" ht="14.25">
      <c r="D108" t="str">
        <f>"As＝"&amp;CEILING(E88,0.01)&amp;"*"&amp;10^6&amp;"/("&amp;0.9&amp;"*"&amp;INDEX('混凝土强度和模量'!$B$20:$B$24,'混凝土强度和模量'!$I$20)&amp;"*"&amp;'X向计算'!$F$3-25&amp;")＝"&amp;INT(CEILING(E88,0.01)*10^6/(0.9*INDEX('混凝土强度和模量'!$B$20:$B$24,'混凝土强度和模量'!$I$20)*('X向计算'!$F$3-25)))&amp;" mm2"</f>
        <v>As＝0*1000000/(0.9*300*225)＝0 mm2</v>
      </c>
    </row>
    <row r="116" ht="14.25">
      <c r="D116" t="str">
        <f>"＝"&amp;CEILING('选筋（X向）'!I18,0.001)&amp;" mm"</f>
        <v>＝0.043 mm</v>
      </c>
    </row>
    <row r="128" ht="14.25">
      <c r="D128" t="str">
        <f>"＝"&amp;CEILING('选筋（X向）'!J18,0.001)&amp;" mm"</f>
        <v>＝0.068 mm</v>
      </c>
    </row>
    <row r="140" ht="14.25">
      <c r="D140" t="str">
        <f>"＝"&amp;CEILING('选筋（X向）'!K18,0.001)&amp;" mm"</f>
        <v>＝0.049 mm</v>
      </c>
    </row>
    <row r="194" ht="14.25">
      <c r="D194" t="str">
        <f>"＝"&amp;CEILING('选筋（Y向）'!H18,0.001)&amp;" mm"</f>
        <v>＝0.229 mm</v>
      </c>
    </row>
    <row r="206" ht="14.25">
      <c r="D206" t="str">
        <f>"＝"&amp;CEILING('选筋（Y向）'!I18,0.001)&amp;" mm"</f>
        <v>＝0.058 mm</v>
      </c>
    </row>
    <row r="218" ht="14.25">
      <c r="D218" t="str">
        <f>"＝"&amp;CEILING('选筋（Y向）'!J18,0.001)&amp;" mm"</f>
        <v>＝0.091 mm</v>
      </c>
    </row>
    <row r="230" ht="14.25">
      <c r="D230" t="str">
        <f>"＝"&amp;CEILING('选筋（Y向）'!K18,0.001)&amp;" mm"</f>
        <v>＝0.066 mm</v>
      </c>
    </row>
  </sheetData>
  <sheetProtection sheet="1" objects="1" scenarios="1"/>
  <mergeCells count="6">
    <mergeCell ref="A54:I54"/>
    <mergeCell ref="A29:I29"/>
    <mergeCell ref="A1:I1"/>
    <mergeCell ref="A2:I2"/>
    <mergeCell ref="A37:I37"/>
    <mergeCell ref="A45:I4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2:K230"/>
  <sheetViews>
    <sheetView view="pageBreakPreview" zoomScaleSheetLayoutView="100" zoomScalePageLayoutView="0" workbookViewId="0" topLeftCell="A181">
      <selection activeCell="F224" sqref="F224"/>
    </sheetView>
  </sheetViews>
  <sheetFormatPr defaultColWidth="9.00390625" defaultRowHeight="14.25"/>
  <cols>
    <col min="1" max="1" width="3.625" style="209" customWidth="1"/>
    <col min="2" max="2" width="8.875" style="209" customWidth="1"/>
    <col min="3" max="3" width="20.50390625" style="209" customWidth="1"/>
    <col min="4" max="4" width="11.375" style="209" customWidth="1"/>
    <col min="5" max="5" width="11.50390625" style="249" customWidth="1"/>
    <col min="6" max="6" width="9.00390625" style="209" customWidth="1"/>
    <col min="7" max="7" width="9.25390625" style="209" customWidth="1"/>
    <col min="8" max="8" width="8.125" style="253" customWidth="1"/>
    <col min="9" max="9" width="5.00390625" style="209" customWidth="1"/>
    <col min="10" max="16384" width="9.00390625" style="209" customWidth="1"/>
  </cols>
  <sheetData>
    <row r="2" spans="2:11" ht="14.25">
      <c r="B2" s="357" t="str">
        <f>'总参数页'!B1&amp;"无梁楼板计算书"</f>
        <v>xxx无梁楼板计算书</v>
      </c>
      <c r="C2" s="357"/>
      <c r="D2" s="357"/>
      <c r="E2" s="357"/>
      <c r="F2" s="357"/>
      <c r="G2" s="357"/>
      <c r="H2" s="357"/>
      <c r="I2" s="208"/>
      <c r="J2" s="212"/>
      <c r="K2" s="212"/>
    </row>
    <row r="3" spans="2:11" ht="14.25">
      <c r="B3" s="363" t="s">
        <v>283</v>
      </c>
      <c r="C3" s="363"/>
      <c r="D3" s="363"/>
      <c r="E3" s="363"/>
      <c r="F3" s="363"/>
      <c r="G3" s="363"/>
      <c r="H3" s="363"/>
      <c r="I3" s="210"/>
      <c r="J3" s="213"/>
      <c r="K3" s="213"/>
    </row>
    <row r="4" ht="14.25">
      <c r="A4" s="211" t="s">
        <v>284</v>
      </c>
    </row>
    <row r="5" ht="15" thickBot="1">
      <c r="B5"/>
    </row>
    <row r="6" spans="2:6" ht="19.5" customHeight="1">
      <c r="B6" s="240" t="s">
        <v>285</v>
      </c>
      <c r="C6" s="242" t="str">
        <f>INDEX('混凝土强度和模量'!A4:A17,'混凝土强度和模量'!I4)</f>
        <v>C30</v>
      </c>
      <c r="D6" s="231" t="s">
        <v>286</v>
      </c>
      <c r="E6" s="257">
        <f>'总参数页'!F3</f>
        <v>3</v>
      </c>
      <c r="F6" s="216" t="s">
        <v>287</v>
      </c>
    </row>
    <row r="7" spans="2:6" ht="17.25" customHeight="1">
      <c r="B7" s="241" t="s">
        <v>288</v>
      </c>
      <c r="C7" s="243" t="str">
        <f>INDEX('混凝土强度和模量'!A20:A24,'混凝土强度和模量'!I20)</f>
        <v>HRB335</v>
      </c>
      <c r="D7" s="220" t="s">
        <v>289</v>
      </c>
      <c r="E7" s="258">
        <f>'总参数页'!F4</f>
        <v>3.4</v>
      </c>
      <c r="F7" s="217" t="s">
        <v>287</v>
      </c>
    </row>
    <row r="8" spans="2:6" ht="18.75" customHeight="1">
      <c r="B8" s="241" t="s">
        <v>290</v>
      </c>
      <c r="C8" s="243" t="str">
        <f>INDEX('混凝土强度和模量'!A27:A31,'混凝土强度和模量'!J27)</f>
        <v>均布荷载</v>
      </c>
      <c r="D8" s="220" t="s">
        <v>291</v>
      </c>
      <c r="E8" s="244">
        <f>'总参数页'!F5</f>
        <v>250</v>
      </c>
      <c r="F8" s="217" t="s">
        <v>292</v>
      </c>
    </row>
    <row r="9" spans="2:6" ht="17.25" customHeight="1">
      <c r="B9" s="241" t="s">
        <v>372</v>
      </c>
      <c r="C9" s="244" t="str">
        <f>'总参数页'!B7&amp;" mm"</f>
        <v>0.3 mm</v>
      </c>
      <c r="D9" s="220" t="s">
        <v>405</v>
      </c>
      <c r="E9" s="244">
        <f>'总参数页'!F6</f>
        <v>40</v>
      </c>
      <c r="F9" s="217" t="s">
        <v>293</v>
      </c>
    </row>
    <row r="10" spans="2:6" ht="15" thickBot="1">
      <c r="B10" s="225"/>
      <c r="C10" s="271"/>
      <c r="D10" s="226" t="s">
        <v>375</v>
      </c>
      <c r="E10" s="256">
        <f>'总参数页'!F7</f>
        <v>0</v>
      </c>
      <c r="F10" s="219" t="s">
        <v>293</v>
      </c>
    </row>
    <row r="11" spans="2:6" ht="14.25">
      <c r="B11" s="232"/>
      <c r="C11" s="232"/>
      <c r="D11" s="233"/>
      <c r="E11" s="250"/>
      <c r="F11" s="232"/>
    </row>
    <row r="12" spans="2:6" ht="14.25">
      <c r="B12" s="232"/>
      <c r="C12" s="232"/>
      <c r="D12" s="233"/>
      <c r="E12" s="250"/>
      <c r="F12" s="232"/>
    </row>
    <row r="13" spans="2:5" ht="14.25">
      <c r="B13" s="213"/>
      <c r="E13" s="250"/>
    </row>
    <row r="14" ht="24" customHeight="1">
      <c r="A14" s="211" t="s">
        <v>342</v>
      </c>
    </row>
    <row r="15" ht="14.25">
      <c r="B15" s="227" t="str">
        <f>"1、         恒载：     gk＝"&amp;'总参数页'!F5/1000&amp;"*25"&amp;"+"&amp;'总参数页'!F7&amp;"="&amp;'X向计算'!D46&amp;" kN/m2"</f>
        <v>1、         恒载：     gk＝0.25*25+0=6.25 kN/m2</v>
      </c>
    </row>
    <row r="16" ht="14.25">
      <c r="B16" s="213" t="str">
        <f>"               活载：     p＝"&amp;'总参数页'!F6&amp;" kN/m2"</f>
        <v>               活载：     p＝40 kN/m2</v>
      </c>
    </row>
    <row r="17" ht="14.25">
      <c r="B17" s="213"/>
    </row>
    <row r="18" ht="14.25">
      <c r="B18" s="213" t="s">
        <v>343</v>
      </c>
    </row>
    <row r="19" ht="14.25">
      <c r="B19" s="213" t="str">
        <f>"                              qk＝"&amp;'X向计算'!D46&amp;"+"&amp;'X向计算'!A46&amp;"="&amp;'X向计算'!D46+'X向计算'!A46&amp;" kN/m2"</f>
        <v>                              qk＝6.25+40=46.25 kN/m2</v>
      </c>
    </row>
    <row r="20" ht="14.25">
      <c r="B20" s="215" t="s">
        <v>344</v>
      </c>
    </row>
    <row r="21" ht="14.25">
      <c r="B21" s="213" t="str">
        <f>"                              q＝"&amp;'X向计算'!E46&amp;"*"&amp;'X向计算'!D46&amp;"+"&amp;'X向计算'!F46&amp;"*"&amp;'X向计算'!A46&amp;"="&amp;'X向计算'!E46*'X向计算'!D46+'X向计算'!F46*'X向计算'!A46&amp;" kN/m2"</f>
        <v>                              q＝1.2*6.25+1.3*40=59.5 kN/m2</v>
      </c>
    </row>
    <row r="22" ht="14.25">
      <c r="B22" s="213"/>
    </row>
    <row r="23" ht="14.25">
      <c r="B23" s="215" t="s">
        <v>407</v>
      </c>
    </row>
    <row r="24" ht="18" customHeight="1">
      <c r="B24" s="213" t="str">
        <f>"                               Nk="&amp;('X向计算'!D46+'X向计算'!A46)&amp;"*"&amp;'X向计算'!F1&amp;"*"&amp;'X向计算'!F2&amp;"="&amp;INT(('X向计算'!D46+'X向计算'!A46)*'X向计算'!F1*'X向计算'!F2)&amp;" kN"</f>
        <v>                               Nk=46.25*3*3.4=471 kN</v>
      </c>
    </row>
    <row r="25" ht="18" customHeight="1">
      <c r="B25" s="213"/>
    </row>
    <row r="26" ht="22.5" customHeight="1">
      <c r="A26" s="211" t="s">
        <v>294</v>
      </c>
    </row>
    <row r="27" ht="14.25">
      <c r="B27" s="214" t="s">
        <v>295</v>
      </c>
    </row>
    <row r="28" spans="2:11" ht="14.25">
      <c r="B28" s="214"/>
      <c r="K28" s="277">
        <f>'混凝土强度和模量'!J27</f>
        <v>1</v>
      </c>
    </row>
    <row r="29" ht="14.25">
      <c r="B29" s="213"/>
    </row>
    <row r="31" ht="14.25">
      <c r="B31" s="213"/>
    </row>
    <row r="32" ht="14.25">
      <c r="B32" s="213"/>
    </row>
    <row r="33" ht="14.25">
      <c r="B33" s="213"/>
    </row>
    <row r="34" ht="14.25">
      <c r="B34" s="213"/>
    </row>
    <row r="35" ht="14.25">
      <c r="B35" s="213"/>
    </row>
    <row r="36" ht="14.25">
      <c r="B36" s="213"/>
    </row>
    <row r="37" ht="14.25">
      <c r="B37" s="213"/>
    </row>
    <row r="38" ht="14.25">
      <c r="B38" s="213"/>
    </row>
    <row r="39" ht="14.25">
      <c r="B39" s="213"/>
    </row>
    <row r="40" ht="14.25">
      <c r="B40" s="213"/>
    </row>
    <row r="41" ht="14.25">
      <c r="B41" s="213"/>
    </row>
    <row r="43" spans="2:8" ht="15" thickBot="1">
      <c r="B43" s="359" t="s">
        <v>406</v>
      </c>
      <c r="C43" s="359"/>
      <c r="D43" s="359"/>
      <c r="E43" s="359"/>
      <c r="F43" s="359"/>
      <c r="G43" s="359"/>
      <c r="H43" s="359"/>
    </row>
    <row r="44" spans="2:8" ht="15.75" customHeight="1" thickBot="1">
      <c r="B44" s="360" t="s">
        <v>296</v>
      </c>
      <c r="C44" s="361"/>
      <c r="D44" s="362"/>
      <c r="E44" s="360" t="s">
        <v>297</v>
      </c>
      <c r="F44" s="361"/>
      <c r="G44" s="361"/>
      <c r="H44" s="362"/>
    </row>
    <row r="45" spans="2:8" ht="18" customHeight="1" thickBot="1">
      <c r="B45" s="228"/>
      <c r="C45" s="228"/>
      <c r="D45" s="228"/>
      <c r="E45" s="251"/>
      <c r="F45" s="228"/>
      <c r="G45" s="228"/>
      <c r="H45" s="254"/>
    </row>
    <row r="46" spans="2:8" ht="15" thickBot="1">
      <c r="B46" s="229">
        <v>0.0782</v>
      </c>
      <c r="C46" s="229">
        <v>0.0332</v>
      </c>
      <c r="D46" s="229">
        <v>0.0469</v>
      </c>
      <c r="E46" s="229">
        <v>-0.105</v>
      </c>
      <c r="F46" s="229">
        <v>-0.0791</v>
      </c>
      <c r="G46" s="229">
        <v>-0.0791</v>
      </c>
      <c r="H46" s="283">
        <v>-0.105</v>
      </c>
    </row>
    <row r="47" ht="14.25">
      <c r="B47" s="213"/>
    </row>
    <row r="48" ht="14.25">
      <c r="B48" s="213"/>
    </row>
    <row r="49" ht="14.25">
      <c r="B49" s="213"/>
    </row>
    <row r="50" ht="14.25">
      <c r="A50" s="214" t="s">
        <v>298</v>
      </c>
    </row>
    <row r="51" ht="14.25">
      <c r="B51" s="213"/>
    </row>
    <row r="52" ht="14.25">
      <c r="B52" s="215" t="str">
        <f>"取内跨计算，柱帽宽度取c="&amp;'总参数页'!$I$5/1000&amp;"m，板带宽取 B="&amp;'X向计算'!$F$2&amp;"/2＝"&amp;'X向计算'!$F$2/2&amp;"m，h0＝"&amp;'X向计算'!$F$3&amp;"-"&amp;'总参数页'!$I$3+5&amp;"="&amp;'X向计算'!$F$3-'总参数页'!$I$3-5&amp;"mm，"</f>
        <v>取内跨计算，柱帽宽度取c=0.8m，板带宽取 B=3.4/2＝1.7m，h0＝250-45=205mm，</v>
      </c>
    </row>
    <row r="53" ht="14.25">
      <c r="B53" s="215"/>
    </row>
    <row r="54" ht="14.25">
      <c r="B54" s="222" t="s">
        <v>345</v>
      </c>
    </row>
    <row r="55" ht="18.75">
      <c r="C55" s="213" t="s">
        <v>346</v>
      </c>
    </row>
    <row r="56" ht="14.25">
      <c r="B56" s="213"/>
    </row>
    <row r="57" ht="14.25">
      <c r="C57" s="221" t="str">
        <f>"＝"&amp;CEILING('X向计算'!M46,0.01)&amp;" kN*m"</f>
        <v>＝956.78 kN*m</v>
      </c>
    </row>
    <row r="58" ht="14.25">
      <c r="B58" s="213" t="s">
        <v>299</v>
      </c>
    </row>
    <row r="59" ht="14.25">
      <c r="B59" s="213"/>
    </row>
    <row r="60" ht="14.25">
      <c r="B60" s="213" t="s">
        <v>347</v>
      </c>
    </row>
    <row r="61" ht="18.75">
      <c r="C61" s="213" t="s">
        <v>348</v>
      </c>
    </row>
    <row r="62" ht="14.25">
      <c r="B62" s="213"/>
    </row>
    <row r="63" spans="2:3" ht="14.25">
      <c r="B63" s="213" t="s">
        <v>300</v>
      </c>
      <c r="C63" s="221" t="str">
        <f>"         ＝"&amp;CEILING('X向计算'!L46,0.01)&amp;" kN*m"</f>
        <v>         ＝1230.89 kN*m</v>
      </c>
    </row>
    <row r="64" ht="14.25">
      <c r="B64" s="213"/>
    </row>
    <row r="65" ht="14.25">
      <c r="B65" s="213"/>
    </row>
    <row r="66" spans="2:7" ht="14.25">
      <c r="B66" s="213"/>
      <c r="C66" s="356" t="s">
        <v>301</v>
      </c>
      <c r="D66" s="356"/>
      <c r="E66" s="356"/>
      <c r="F66" s="356"/>
      <c r="G66" s="356"/>
    </row>
    <row r="67" spans="3:7" ht="14.25">
      <c r="C67" s="358"/>
      <c r="D67" s="354" t="s">
        <v>302</v>
      </c>
      <c r="E67" s="355"/>
      <c r="F67" s="354" t="s">
        <v>303</v>
      </c>
      <c r="G67" s="355"/>
    </row>
    <row r="68" spans="3:7" ht="14.25">
      <c r="C68" s="358"/>
      <c r="D68" s="220" t="s">
        <v>304</v>
      </c>
      <c r="E68" s="220" t="s">
        <v>306</v>
      </c>
      <c r="F68" s="220" t="s">
        <v>304</v>
      </c>
      <c r="G68" s="220" t="s">
        <v>306</v>
      </c>
    </row>
    <row r="69" spans="3:7" ht="14.25">
      <c r="C69" s="358"/>
      <c r="D69" s="220" t="s">
        <v>305</v>
      </c>
      <c r="E69" s="220" t="s">
        <v>305</v>
      </c>
      <c r="F69" s="220" t="s">
        <v>305</v>
      </c>
      <c r="G69" s="220" t="s">
        <v>305</v>
      </c>
    </row>
    <row r="70" spans="3:7" ht="21.75" customHeight="1">
      <c r="C70" s="234" t="s">
        <v>307</v>
      </c>
      <c r="D70" s="220">
        <f>'X向计算'!F53</f>
        <v>0.0791</v>
      </c>
      <c r="E70" s="220">
        <f>'X向计算'!G53</f>
        <v>0.046900000000000004</v>
      </c>
      <c r="F70" s="220">
        <f>'X向计算'!H53</f>
        <v>0.0791</v>
      </c>
      <c r="G70" s="220">
        <f>'X向计算'!I53</f>
        <v>0.046900000000000004</v>
      </c>
    </row>
    <row r="71" spans="3:7" ht="20.25" customHeight="1">
      <c r="C71" s="234" t="s">
        <v>349</v>
      </c>
      <c r="D71" s="220">
        <f>'X向计算'!F54</f>
        <v>0.75</v>
      </c>
      <c r="E71" s="220">
        <f>'X向计算'!G54</f>
        <v>0.55</v>
      </c>
      <c r="F71" s="220">
        <f>'X向计算'!H54</f>
        <v>0.25</v>
      </c>
      <c r="G71" s="220">
        <f>'X向计算'!I54</f>
        <v>0.45</v>
      </c>
    </row>
    <row r="72" spans="3:7" ht="26.25">
      <c r="C72" s="234" t="s">
        <v>350</v>
      </c>
      <c r="D72" s="235">
        <f>'X向计算'!F88</f>
        <v>75.68121011111113</v>
      </c>
      <c r="E72" s="235">
        <f>'X向计算'!G88</f>
        <v>44.8729298888889</v>
      </c>
      <c r="F72" s="235">
        <f>'X向计算'!H88</f>
        <v>75.68121011111113</v>
      </c>
      <c r="G72" s="235">
        <f>'X向计算'!I88</f>
        <v>44.8729298888889</v>
      </c>
    </row>
    <row r="73" spans="3:7" ht="26.25">
      <c r="C73" s="234" t="s">
        <v>351</v>
      </c>
      <c r="D73" s="235">
        <f>'X向计算'!F89</f>
        <v>56.76090758333335</v>
      </c>
      <c r="E73" s="235">
        <f>'X向计算'!G89</f>
        <v>24.680111438888897</v>
      </c>
      <c r="F73" s="235">
        <f>'X向计算'!H89</f>
        <v>18.920302527777782</v>
      </c>
      <c r="G73" s="235">
        <f>'X向计算'!I89</f>
        <v>20.192818450000004</v>
      </c>
    </row>
    <row r="74" spans="3:7" ht="26.25">
      <c r="C74" s="234" t="s">
        <v>352</v>
      </c>
      <c r="D74" s="235">
        <f>'X向计算'!F90</f>
        <v>33.38876916666668</v>
      </c>
      <c r="E74" s="235">
        <f>'X向计算'!G90</f>
        <v>14.517712611111117</v>
      </c>
      <c r="F74" s="235">
        <f>'X向计算'!H90</f>
        <v>11.129589722222224</v>
      </c>
      <c r="G74" s="235">
        <f>'X向计算'!I90</f>
        <v>11.878128500000003</v>
      </c>
    </row>
    <row r="76" ht="14.25">
      <c r="B76" s="213"/>
    </row>
    <row r="79" ht="14.25">
      <c r="B79" s="213"/>
    </row>
    <row r="80" spans="2:7" ht="14.25">
      <c r="B80" s="213"/>
      <c r="C80" s="356" t="s">
        <v>353</v>
      </c>
      <c r="D80" s="356"/>
      <c r="E80" s="356"/>
      <c r="F80" s="356"/>
      <c r="G80" s="356"/>
    </row>
    <row r="81" spans="3:7" ht="14.25">
      <c r="C81" s="358"/>
      <c r="D81" s="354" t="s">
        <v>302</v>
      </c>
      <c r="E81" s="355"/>
      <c r="F81" s="354" t="s">
        <v>303</v>
      </c>
      <c r="G81" s="355"/>
    </row>
    <row r="82" spans="3:7" ht="14.25">
      <c r="C82" s="358"/>
      <c r="D82" s="220" t="s">
        <v>304</v>
      </c>
      <c r="E82" s="220" t="s">
        <v>306</v>
      </c>
      <c r="F82" s="220" t="s">
        <v>304</v>
      </c>
      <c r="G82" s="220" t="s">
        <v>306</v>
      </c>
    </row>
    <row r="83" spans="3:7" ht="14.25">
      <c r="C83" s="358"/>
      <c r="D83" s="220" t="s">
        <v>305</v>
      </c>
      <c r="E83" s="220" t="s">
        <v>305</v>
      </c>
      <c r="F83" s="220" t="s">
        <v>305</v>
      </c>
      <c r="G83" s="220" t="s">
        <v>305</v>
      </c>
    </row>
    <row r="84" spans="3:7" ht="21.75" customHeight="1">
      <c r="C84" s="234" t="s">
        <v>307</v>
      </c>
      <c r="D84" s="220">
        <f>'X向计算'!F53</f>
        <v>0.0791</v>
      </c>
      <c r="E84" s="220">
        <f>'X向计算'!G53</f>
        <v>0.046900000000000004</v>
      </c>
      <c r="F84" s="220">
        <f>'X向计算'!H53</f>
        <v>0.0791</v>
      </c>
      <c r="G84" s="220">
        <f>'X向计算'!I53</f>
        <v>0.046900000000000004</v>
      </c>
    </row>
    <row r="85" spans="3:7" ht="20.25" customHeight="1">
      <c r="C85" s="234" t="s">
        <v>308</v>
      </c>
      <c r="D85" s="220">
        <f>'X向计算'!F54</f>
        <v>0.75</v>
      </c>
      <c r="E85" s="220">
        <f>'X向计算'!G54</f>
        <v>0.55</v>
      </c>
      <c r="F85" s="220">
        <f>'X向计算'!H54</f>
        <v>0.25</v>
      </c>
      <c r="G85" s="220">
        <f>'X向计算'!I54</f>
        <v>0.45</v>
      </c>
    </row>
    <row r="86" spans="3:7" ht="26.25">
      <c r="C86" s="234" t="s">
        <v>354</v>
      </c>
      <c r="D86" s="235">
        <f>'X向计算'!F58</f>
        <v>97.36285408888891</v>
      </c>
      <c r="E86" s="235">
        <f>'X向计算'!G58</f>
        <v>57.72841791111112</v>
      </c>
      <c r="F86" s="235">
        <f>'X向计算'!H58</f>
        <v>97.36285408888891</v>
      </c>
      <c r="G86" s="235">
        <f>'X向计算'!I58</f>
        <v>57.72841791111112</v>
      </c>
    </row>
    <row r="87" spans="3:7" ht="26.25">
      <c r="C87" s="234" t="s">
        <v>355</v>
      </c>
      <c r="D87" s="235">
        <f>'X向计算'!F59</f>
        <v>73.02214056666668</v>
      </c>
      <c r="E87" s="235">
        <f>'X向计算'!G59</f>
        <v>31.75062985111112</v>
      </c>
      <c r="F87" s="235">
        <f>'X向计算'!H59</f>
        <v>24.340713522222227</v>
      </c>
      <c r="G87" s="235">
        <f>'X向计算'!I59</f>
        <v>25.977788060000005</v>
      </c>
    </row>
    <row r="88" spans="3:7" ht="26.25">
      <c r="C88" s="234" t="s">
        <v>356</v>
      </c>
      <c r="D88" s="235">
        <f>CEILING('X向计算'!F60,0.01)</f>
        <v>42.96</v>
      </c>
      <c r="E88" s="235">
        <f>CEILING('X向计算'!G60,0.01)</f>
        <v>18.68</v>
      </c>
      <c r="F88" s="235">
        <f>CEILING('X向计算'!H60,0.01)</f>
        <v>14.32</v>
      </c>
      <c r="G88" s="235">
        <f>CEILING('X向计算'!I60,0.01)</f>
        <v>15.290000000000001</v>
      </c>
    </row>
    <row r="90" ht="14.25">
      <c r="B90" s="213"/>
    </row>
    <row r="91" ht="14.25">
      <c r="B91" s="213"/>
    </row>
    <row r="92" ht="14.25">
      <c r="B92" s="213"/>
    </row>
    <row r="93" ht="14.25">
      <c r="B93" s="213"/>
    </row>
    <row r="94" spans="2:6" ht="14.25">
      <c r="B94" s="215" t="s">
        <v>357</v>
      </c>
      <c r="D94" s="227" t="str">
        <f>" Mc＝"&amp;CEILING(D88,0.01)&amp;" kN*m"</f>
        <v> Mc＝42.96 kN*m</v>
      </c>
      <c r="F94" s="209" t="str">
        <f>"γs＝"&amp;CEILING('X向计算'!F66,0.001)</f>
        <v>γs＝0.957</v>
      </c>
    </row>
    <row r="95" ht="17.25" customHeight="1"/>
    <row r="96" spans="2:7" ht="14.25">
      <c r="B96" s="213" t="s">
        <v>381</v>
      </c>
      <c r="D96" s="213" t="str">
        <f>"As＝"&amp;CEILING(D88,0.01)&amp;"*"&amp;10^6&amp;"/("&amp;CEILING('X向计算'!F66,0.001)&amp;"*"&amp;INDEX('混凝土强度和模量'!$B$20:$B$24,'混凝土强度和模量'!$I$20)&amp;"*"&amp;'X向计算'!$F$3-'总参数页'!$I$3-5&amp;")＝"&amp;INT(CEILING(D88,0.01)*10^6/(CEILING('X向计算'!F66,0.001)*INDEX('混凝土强度和模量'!$B$20:$B$24,'混凝土强度和模量'!$I$20)*('X向计算'!$F$3-'总参数页'!$I$3-5)))&amp;" mm2"</f>
        <v>As＝42.96*1000000/(0.957*300*205)＝729 mm2</v>
      </c>
      <c r="G96" s="230"/>
    </row>
    <row r="97" spans="7:8" ht="16.5">
      <c r="G97" s="263"/>
      <c r="H97" s="255">
        <f>INT(CEILING(D88,0.01)*10^6/(CEILING('X向计算'!F66,0.001)*INDEX('混凝土强度和模量'!$B$20:$B$24,'混凝土强度和模量'!$I$20)*('X向计算'!$F$3-'总参数页'!$I$3-5)))</f>
        <v>729</v>
      </c>
    </row>
    <row r="98" spans="2:5" ht="14.25">
      <c r="B98" s="223" t="str">
        <f>"配"&amp;'选筋（X向）'!B6&amp;" (As＝"&amp;INT('选筋（X向）'!B7)&amp;"),   ρ＝"&amp;CEILING('选筋（X向）'!B9*100,0.001)&amp;"%"</f>
        <v>配φ12@150 (As＝753),   ρ＝0.302%</v>
      </c>
      <c r="C98" s="224"/>
      <c r="D98" s="224"/>
      <c r="E98" s="248">
        <f>IF('选筋（X向）'!B7&lt;As,"不满足！","")</f>
      </c>
    </row>
    <row r="99" ht="14.25">
      <c r="B99" s="213"/>
    </row>
    <row r="100" ht="14.25">
      <c r="B100" s="215" t="s">
        <v>359</v>
      </c>
    </row>
    <row r="101" ht="14.25">
      <c r="B101" s="215"/>
    </row>
    <row r="103" ht="14.25">
      <c r="B103" s="213"/>
    </row>
    <row r="104" spans="2:4" ht="14.25">
      <c r="B104" s="213"/>
      <c r="D104" s="267" t="str">
        <f>"＝"&amp;CEILING('选筋（X向）'!H8,0.001)&amp;" mm"</f>
        <v>＝0.143 mm</v>
      </c>
    </row>
    <row r="105" spans="2:3" ht="14.25">
      <c r="B105" s="213"/>
      <c r="C105" s="215"/>
    </row>
    <row r="106" spans="2:6" ht="14.25">
      <c r="B106" s="215" t="s">
        <v>360</v>
      </c>
      <c r="D106" s="227" t="str">
        <f>"M3＝"&amp;CEILING(E88,0.01)&amp;" kN*m"</f>
        <v>M3＝18.68 kN*m</v>
      </c>
      <c r="F106" s="209" t="str">
        <f>"γs＝"&amp;CEILING('X向计算'!G66,0.001)</f>
        <v>γs＝0.982</v>
      </c>
    </row>
    <row r="108" spans="2:4" ht="14.25">
      <c r="B108" s="213" t="s">
        <v>358</v>
      </c>
      <c r="D108" s="213" t="str">
        <f>"As＝"&amp;CEILING(E88,0.01)&amp;"*"&amp;10^6&amp;"/("&amp;CEILING('X向计算'!G66,0.001)&amp;"*"&amp;INDEX('混凝土强度和模量'!$B$20:$B$24,'混凝土强度和模量'!$I$20)&amp;"*"&amp;'X向计算'!$F$3-'总参数页'!$I$3-5&amp;")＝"&amp;INT(CEILING(E88,0.01)*10^6/(CEILING('X向计算'!G66,0.001)*INDEX('混凝土强度和模量'!$B$20:$B$24,'混凝土强度和模量'!$I$20)*('X向计算'!$F$3-'总参数页'!$I$3-5)))&amp;" mm2"</f>
        <v>As＝18.68*1000000/(0.982*300*205)＝309 mm2</v>
      </c>
    </row>
    <row r="109" ht="14.25">
      <c r="H109" s="255">
        <f>INT(CEILING(E88,0.01)*10^6/(CEILING('X向计算'!G66,0.001)*INDEX('混凝土强度和模量'!$B$20:$B$24,'混凝土强度和模量'!$I$20)*('X向计算'!$F$3-'总参数页'!$I$3-5)))</f>
        <v>309</v>
      </c>
    </row>
    <row r="110" spans="2:8" ht="14.25">
      <c r="B110" s="223" t="str">
        <f>"配"&amp;'选筋（X向）'!C6&amp;" (As＝"&amp;INT('选筋（X向）'!C7)&amp;"),   ρ＝"&amp;CEILING('选筋（X向）'!C9*100,0.001)&amp;"%"</f>
        <v>配φ12@200 (As＝565),   ρ＝0.227%</v>
      </c>
      <c r="C110" s="224"/>
      <c r="D110" s="224"/>
      <c r="E110" s="248">
        <f>IF('选筋（X向）'!C7&lt;H109,"不满足！","")</f>
      </c>
      <c r="H110" s="255"/>
    </row>
    <row r="111" ht="14.25">
      <c r="B111" s="213"/>
    </row>
    <row r="112" ht="14.25">
      <c r="B112" s="215" t="s">
        <v>359</v>
      </c>
    </row>
    <row r="113" ht="14.25">
      <c r="B113" s="215"/>
    </row>
    <row r="115" ht="14.25">
      <c r="B115" s="213"/>
    </row>
    <row r="116" spans="2:4" ht="14.25">
      <c r="B116" s="213"/>
      <c r="D116" s="215" t="str">
        <f>"＝"&amp;CEILING('选筋（X向）'!I8,0.001)&amp;" mm"</f>
        <v>＝0.088 mm</v>
      </c>
    </row>
    <row r="117" ht="14.25">
      <c r="B117" s="213"/>
    </row>
    <row r="118" spans="2:8" ht="14.25">
      <c r="B118" s="215" t="s">
        <v>361</v>
      </c>
      <c r="D118" s="227" t="str">
        <f>"Mc＝"&amp;CEILING(F88,0.01)&amp;" kN*m"</f>
        <v>Mc＝14.32 kN*m</v>
      </c>
      <c r="F118" s="209" t="str">
        <f>"γs＝"&amp;CEILING('X向计算'!H66,0.001)</f>
        <v>γs＝0.986</v>
      </c>
      <c r="H118" s="253">
        <f>CEILING('X向计算'!H66,0.001)</f>
        <v>0.986</v>
      </c>
    </row>
    <row r="119" ht="17.25" customHeight="1"/>
    <row r="120" spans="2:4" ht="14.25">
      <c r="B120" s="213" t="s">
        <v>358</v>
      </c>
      <c r="D120" s="213" t="str">
        <f>"As＝"&amp;CEILING(F88,0.01)&amp;"*"&amp;10^6&amp;"/("&amp;CEILING('X向计算'!H66,0.001)&amp;"*"&amp;INDEX('混凝土强度和模量'!$B$20:$B$24,'混凝土强度和模量'!$I$20)&amp;"*"&amp;'X向计算'!$F$3-'总参数页'!$I$3-5&amp;")＝"&amp;INT(CEILING(F88,0.01)*10^6/(CEILING('X向计算'!H66,0.001)*INDEX('混凝土强度和模量'!$B$20:$B$24,'混凝土强度和模量'!$I$20)*('X向计算'!$F$3-'总参数页'!$I$3-5)))&amp;" mm2"</f>
        <v>As＝14.32*1000000/(0.986*300*205)＝236 mm2</v>
      </c>
    </row>
    <row r="121" ht="14.25">
      <c r="H121" s="255">
        <f>INT(CEILING(F88,0.01)*10^6/(CEILING('X向计算'!H66,0.001)*INDEX('混凝土强度和模量'!$B$20:$B$24,'混凝土强度和模量'!$I$20)*('X向计算'!$F$3-'总参数页'!$I$3-5)))</f>
        <v>236</v>
      </c>
    </row>
    <row r="122" spans="2:8" ht="14.25">
      <c r="B122" s="223" t="str">
        <f>"配"&amp;'选筋（X向）'!D6&amp;" (As＝"&amp;INT('选筋（X向）'!D7)&amp;"),   ρ＝"&amp;CEILING('选筋（X向）'!D9*100,0.001)&amp;"%"</f>
        <v>配φ12@200 (As＝565),   ρ＝0.227%</v>
      </c>
      <c r="C122" s="224"/>
      <c r="D122" s="224"/>
      <c r="E122" s="249">
        <f>IF('选筋（X向）'!D7&lt;H121,"不满足！","")</f>
      </c>
      <c r="H122" s="255"/>
    </row>
    <row r="123" ht="14.25">
      <c r="B123" s="213"/>
    </row>
    <row r="124" ht="14.25">
      <c r="B124" s="215" t="s">
        <v>359</v>
      </c>
    </row>
    <row r="125" ht="14.25">
      <c r="B125" s="215"/>
    </row>
    <row r="127" ht="14.25">
      <c r="B127" s="213"/>
    </row>
    <row r="128" spans="2:4" ht="14.25">
      <c r="B128" s="213"/>
      <c r="D128" s="215" t="str">
        <f>"＝"&amp;CEILING('选筋（X向）'!J8,0.001)&amp;" mm"</f>
        <v>＝0.068 mm</v>
      </c>
    </row>
    <row r="129" spans="2:3" ht="14.25">
      <c r="B129" s="213"/>
      <c r="C129" s="215"/>
    </row>
    <row r="130" spans="2:6" ht="14.25">
      <c r="B130" s="215" t="s">
        <v>362</v>
      </c>
      <c r="D130" s="227" t="str">
        <f>"M3＝"&amp;CEILING(G88,0.01)&amp;" kN*m"</f>
        <v>M3＝15.29 kN*m</v>
      </c>
      <c r="F130" s="209" t="str">
        <f>"γs＝"&amp;CEILING('X向计算'!I66,0.001)</f>
        <v>γs＝0.985</v>
      </c>
    </row>
    <row r="132" spans="2:4" ht="14.25">
      <c r="B132" s="213" t="s">
        <v>358</v>
      </c>
      <c r="D132" s="213" t="str">
        <f>"As＝"&amp;CEILING(G88,0.01)&amp;"*"&amp;10^6&amp;"/("&amp;CEILING('X向计算'!I66,0.001)&amp;"*"&amp;INDEX('混凝土强度和模量'!$B$20:$B$24,'混凝土强度和模量'!$I$20)&amp;"*"&amp;'X向计算'!$F$3-'总参数页'!$I$3-5&amp;")＝"&amp;INT(CEILING(G88,0.01)*10^6/(CEILING('X向计算'!I66,0.001)*INDEX('混凝土强度和模量'!$B$20:$B$24,'混凝土强度和模量'!$I$20)*('X向计算'!$F$3-'总参数页'!$I$3-5)))&amp;" mm2"</f>
        <v>As＝15.29*1000000/(0.985*300*205)＝252 mm2</v>
      </c>
    </row>
    <row r="133" ht="14.25">
      <c r="H133" s="255">
        <f>INT(CEILING(G88,0.01)*10^6/(CEILING('X向计算'!I66,0.001)*INDEX('混凝土强度和模量'!$B$20:$B$24,'混凝土强度和模量'!$I$20)*('X向计算'!$F$3-'总参数页'!$I$3-5)))</f>
        <v>252</v>
      </c>
    </row>
    <row r="134" spans="2:5" ht="14.25">
      <c r="B134" s="223" t="str">
        <f>"配"&amp;'选筋（X向）'!E6&amp;" (As＝"&amp;INT('选筋（X向）'!E7)&amp;"),   ρ＝"&amp;CEILING('选筋（X向）'!E9*100,0.001)&amp;"%"</f>
        <v>配φ12@200 (As＝565),   ρ＝0.227%</v>
      </c>
      <c r="C134" s="224"/>
      <c r="D134" s="224"/>
      <c r="E134" s="249">
        <f>IF('选筋（X向）'!E7&lt;H133,"不满足！","")</f>
      </c>
    </row>
    <row r="135" ht="14.25">
      <c r="B135" s="213"/>
    </row>
    <row r="136" ht="14.25">
      <c r="B136" s="215" t="s">
        <v>359</v>
      </c>
    </row>
    <row r="137" ht="14.25">
      <c r="B137" s="215"/>
    </row>
    <row r="139" ht="14.25">
      <c r="B139" s="213"/>
    </row>
    <row r="140" spans="2:4" ht="14.25">
      <c r="B140" s="213"/>
      <c r="D140" s="215" t="str">
        <f>"＝"&amp;CEILING('选筋（X向）'!K8,0.001)&amp;" mm"</f>
        <v>＝0.072 mm</v>
      </c>
    </row>
    <row r="141" ht="14.25">
      <c r="B141" s="213"/>
    </row>
    <row r="142" ht="14.25">
      <c r="B142" s="213"/>
    </row>
    <row r="143" ht="14.25">
      <c r="A143" s="214" t="s">
        <v>309</v>
      </c>
    </row>
    <row r="144" ht="14.25">
      <c r="B144" s="214"/>
    </row>
    <row r="145" ht="14.25">
      <c r="B145" s="215" t="str">
        <f>"取内跨计算，柱帽宽度取c="&amp;'总参数页'!$I$5/1000&amp;"m，板带宽取 B="&amp;'Y向计算'!$F$2&amp;"/2＝"&amp;'Y向计算'!$F$2/2&amp;"m，h0＝"&amp;'Y向计算'!$F$3&amp;"-"&amp;'总参数页'!$I$3+5&amp;"="&amp;'Y向计算'!$F$3-'总参数页'!$I$3-5&amp;"mm，"</f>
        <v>取内跨计算，柱帽宽度取c=0.8m，板带宽取 B=3/2＝1.5m，h0＝250-45=205mm，</v>
      </c>
    </row>
    <row r="146" ht="14.25">
      <c r="B146" s="215"/>
    </row>
    <row r="147" ht="14.25">
      <c r="B147" s="215"/>
    </row>
    <row r="148" ht="14.25">
      <c r="B148" s="222" t="s">
        <v>363</v>
      </c>
    </row>
    <row r="149" ht="18.75">
      <c r="C149" s="213" t="s">
        <v>364</v>
      </c>
    </row>
    <row r="150" ht="14.25">
      <c r="B150" s="213"/>
    </row>
    <row r="151" ht="14.25">
      <c r="C151" s="221" t="str">
        <f>"＝"&amp;CEILING('Y向计算'!M46,0.01)&amp;" kN*m"</f>
        <v>＝1140.22 kN*m</v>
      </c>
    </row>
    <row r="152" ht="14.25">
      <c r="B152" s="213" t="s">
        <v>299</v>
      </c>
    </row>
    <row r="153" ht="14.25">
      <c r="B153" s="213"/>
    </row>
    <row r="154" ht="14.25">
      <c r="B154" s="213" t="s">
        <v>365</v>
      </c>
    </row>
    <row r="155" ht="18.75">
      <c r="C155" s="213" t="s">
        <v>366</v>
      </c>
    </row>
    <row r="156" ht="14.25">
      <c r="B156" s="213"/>
    </row>
    <row r="157" spans="2:3" ht="14.25">
      <c r="B157" s="213" t="s">
        <v>300</v>
      </c>
      <c r="C157" s="221" t="str">
        <f>"＝"&amp;CEILING('Y向计算'!L46,0.01)&amp;" kN*m"</f>
        <v>＝1466.88 kN*m</v>
      </c>
    </row>
    <row r="158" ht="14.25">
      <c r="B158" s="213"/>
    </row>
    <row r="159" ht="14.25">
      <c r="B159" s="213"/>
    </row>
    <row r="160" spans="2:7" ht="14.25">
      <c r="B160" s="213"/>
      <c r="C160" s="356" t="s">
        <v>367</v>
      </c>
      <c r="D160" s="356"/>
      <c r="E160" s="356"/>
      <c r="F160" s="356"/>
      <c r="G160" s="356"/>
    </row>
    <row r="161" spans="3:7" ht="14.25">
      <c r="C161" s="358"/>
      <c r="D161" s="354" t="s">
        <v>302</v>
      </c>
      <c r="E161" s="355"/>
      <c r="F161" s="354" t="s">
        <v>303</v>
      </c>
      <c r="G161" s="355"/>
    </row>
    <row r="162" spans="3:7" ht="14.25">
      <c r="C162" s="358"/>
      <c r="D162" s="220" t="s">
        <v>304</v>
      </c>
      <c r="E162" s="220" t="s">
        <v>306</v>
      </c>
      <c r="F162" s="220" t="s">
        <v>304</v>
      </c>
      <c r="G162" s="220" t="s">
        <v>306</v>
      </c>
    </row>
    <row r="163" spans="3:7" ht="14.25">
      <c r="C163" s="358"/>
      <c r="D163" s="220" t="s">
        <v>305</v>
      </c>
      <c r="E163" s="220" t="s">
        <v>305</v>
      </c>
      <c r="F163" s="220" t="s">
        <v>305</v>
      </c>
      <c r="G163" s="220" t="s">
        <v>305</v>
      </c>
    </row>
    <row r="164" spans="3:7" ht="21.75" customHeight="1">
      <c r="C164" s="234" t="s">
        <v>307</v>
      </c>
      <c r="D164" s="220">
        <f>'Y向计算'!F53</f>
        <v>0.0791</v>
      </c>
      <c r="E164" s="220">
        <f>'Y向计算'!G53</f>
        <v>0.046900000000000004</v>
      </c>
      <c r="F164" s="220">
        <f>'Y向计算'!H53</f>
        <v>0.0791</v>
      </c>
      <c r="G164" s="220">
        <f>'Y向计算'!I53</f>
        <v>0.046900000000000004</v>
      </c>
    </row>
    <row r="165" spans="3:7" ht="20.25" customHeight="1">
      <c r="C165" s="234" t="s">
        <v>308</v>
      </c>
      <c r="D165" s="220">
        <f>'Y向计算'!F54</f>
        <v>0.75</v>
      </c>
      <c r="E165" s="220">
        <f>'Y向计算'!G54</f>
        <v>0.55</v>
      </c>
      <c r="F165" s="220">
        <f>'Y向计算'!H54</f>
        <v>0.25</v>
      </c>
      <c r="G165" s="220">
        <f>'Y向计算'!I54</f>
        <v>0.45</v>
      </c>
    </row>
    <row r="166" spans="3:7" ht="26.25">
      <c r="C166" s="234" t="s">
        <v>350</v>
      </c>
      <c r="D166" s="235">
        <f>'Y向计算'!F88</f>
        <v>90.19113833333334</v>
      </c>
      <c r="E166" s="235">
        <f>'Y向计算'!G88</f>
        <v>53.47616166666667</v>
      </c>
      <c r="F166" s="235">
        <f>'Y向计算'!H88</f>
        <v>90.19113833333334</v>
      </c>
      <c r="G166" s="235">
        <f>'Y向计算'!I88</f>
        <v>53.47616166666667</v>
      </c>
    </row>
    <row r="167" spans="3:7" ht="26.25">
      <c r="C167" s="234" t="s">
        <v>351</v>
      </c>
      <c r="D167" s="235">
        <f>'Y向计算'!F89</f>
        <v>67.64335375</v>
      </c>
      <c r="E167" s="235">
        <f>'Y向计算'!G89</f>
        <v>29.41188891666667</v>
      </c>
      <c r="F167" s="235">
        <f>'Y向计算'!H89</f>
        <v>22.547784583333335</v>
      </c>
      <c r="G167" s="235">
        <f>'Y向计算'!I89</f>
        <v>24.06427275</v>
      </c>
    </row>
    <row r="168" spans="3:7" ht="26.25">
      <c r="C168" s="234" t="s">
        <v>352</v>
      </c>
      <c r="D168" s="235">
        <f>'Y向计算'!F90</f>
        <v>45.09556916666667</v>
      </c>
      <c r="E168" s="235">
        <f>'Y向计算'!G90</f>
        <v>19.607925944444446</v>
      </c>
      <c r="F168" s="235">
        <f>'Y向计算'!H90</f>
        <v>15.03185638888889</v>
      </c>
      <c r="G168" s="235">
        <f>'Y向计算'!I90</f>
        <v>16.0428485</v>
      </c>
    </row>
    <row r="171" ht="14.25">
      <c r="B171" s="213"/>
    </row>
    <row r="172" spans="2:7" ht="14.25">
      <c r="B172" s="213"/>
      <c r="C172" s="356" t="s">
        <v>368</v>
      </c>
      <c r="D172" s="356"/>
      <c r="E172" s="356"/>
      <c r="F172" s="356"/>
      <c r="G172" s="356"/>
    </row>
    <row r="173" spans="3:7" ht="14.25">
      <c r="C173" s="358"/>
      <c r="D173" s="354" t="s">
        <v>302</v>
      </c>
      <c r="E173" s="355"/>
      <c r="F173" s="354" t="s">
        <v>303</v>
      </c>
      <c r="G173" s="355"/>
    </row>
    <row r="174" spans="3:7" ht="14.25">
      <c r="C174" s="358"/>
      <c r="D174" s="220" t="s">
        <v>304</v>
      </c>
      <c r="E174" s="220" t="s">
        <v>306</v>
      </c>
      <c r="F174" s="220" t="s">
        <v>304</v>
      </c>
      <c r="G174" s="220" t="s">
        <v>306</v>
      </c>
    </row>
    <row r="175" spans="3:7" ht="14.25">
      <c r="C175" s="358"/>
      <c r="D175" s="220" t="s">
        <v>305</v>
      </c>
      <c r="E175" s="220" t="s">
        <v>305</v>
      </c>
      <c r="F175" s="220" t="s">
        <v>305</v>
      </c>
      <c r="G175" s="220" t="s">
        <v>305</v>
      </c>
    </row>
    <row r="176" spans="3:7" ht="21.75" customHeight="1">
      <c r="C176" s="234" t="s">
        <v>307</v>
      </c>
      <c r="D176" s="220">
        <f>'Y向计算'!F53</f>
        <v>0.0791</v>
      </c>
      <c r="E176" s="220">
        <f>'Y向计算'!G53</f>
        <v>0.046900000000000004</v>
      </c>
      <c r="F176" s="220">
        <f>'Y向计算'!H53</f>
        <v>0.0791</v>
      </c>
      <c r="G176" s="220">
        <f>'Y向计算'!I53</f>
        <v>0.046900000000000004</v>
      </c>
    </row>
    <row r="177" spans="3:7" ht="20.25" customHeight="1">
      <c r="C177" s="234" t="s">
        <v>308</v>
      </c>
      <c r="D177" s="220">
        <f>'Y向计算'!F54</f>
        <v>0.75</v>
      </c>
      <c r="E177" s="220">
        <f>'Y向计算'!G54</f>
        <v>0.55</v>
      </c>
      <c r="F177" s="220">
        <f>'Y向计算'!H54</f>
        <v>0.25</v>
      </c>
      <c r="G177" s="220">
        <f>'Y向计算'!I54</f>
        <v>0.45</v>
      </c>
    </row>
    <row r="178" spans="3:7" ht="26.25">
      <c r="C178" s="234" t="s">
        <v>354</v>
      </c>
      <c r="D178" s="235">
        <f>'Y向计算'!F58</f>
        <v>116.02968066666668</v>
      </c>
      <c r="E178" s="235">
        <f>'Y向计算'!G58</f>
        <v>68.79635933333334</v>
      </c>
      <c r="F178" s="235">
        <f>'Y向计算'!H58</f>
        <v>116.02968066666668</v>
      </c>
      <c r="G178" s="235">
        <f>'Y向计算'!I58</f>
        <v>68.79635933333334</v>
      </c>
    </row>
    <row r="179" spans="3:7" ht="26.25">
      <c r="C179" s="234" t="s">
        <v>355</v>
      </c>
      <c r="D179" s="235">
        <f>'Y向计算'!F59</f>
        <v>87.02226050000002</v>
      </c>
      <c r="E179" s="235">
        <f>'Y向计算'!G59</f>
        <v>37.837997633333345</v>
      </c>
      <c r="F179" s="235">
        <f>'Y向计算'!H59</f>
        <v>29.00742016666667</v>
      </c>
      <c r="G179" s="235">
        <f>'Y向计算'!I59</f>
        <v>30.958361700000005</v>
      </c>
    </row>
    <row r="180" spans="3:7" ht="26.25">
      <c r="C180" s="234" t="s">
        <v>356</v>
      </c>
      <c r="D180" s="235">
        <f>CEILING('Y向计算'!F60,0.01)</f>
        <v>58.02</v>
      </c>
      <c r="E180" s="235">
        <f>CEILING('Y向计算'!G60,0.01)</f>
        <v>25.23</v>
      </c>
      <c r="F180" s="235">
        <f>CEILING('Y向计算'!H60,0.01)</f>
        <v>19.34</v>
      </c>
      <c r="G180" s="235">
        <f>CEILING('Y向计算'!I60,0.01)</f>
        <v>20.64</v>
      </c>
    </row>
    <row r="181" spans="3:7" ht="14.25">
      <c r="C181" s="236"/>
      <c r="D181" s="237"/>
      <c r="E181" s="252"/>
      <c r="F181" s="237"/>
      <c r="G181" s="237"/>
    </row>
    <row r="182" spans="3:7" ht="14.25">
      <c r="C182" s="236"/>
      <c r="D182" s="237"/>
      <c r="E182" s="252"/>
      <c r="F182" s="237"/>
      <c r="G182" s="237"/>
    </row>
    <row r="183" spans="3:7" ht="14.25">
      <c r="C183" s="236"/>
      <c r="D183" s="237"/>
      <c r="E183" s="252"/>
      <c r="F183" s="237"/>
      <c r="G183" s="237"/>
    </row>
    <row r="184" spans="2:6" ht="14.25">
      <c r="B184" s="215" t="s">
        <v>357</v>
      </c>
      <c r="D184" s="227" t="str">
        <f>"Mc＝"&amp;CEILING(D180,0.01)&amp;" kN*m"</f>
        <v>Mc＝58.02 kN*m</v>
      </c>
      <c r="F184" s="209" t="str">
        <f>"γs＝"&amp;CEILING('Y向计算'!F66,0.001)</f>
        <v>γs＝0.941</v>
      </c>
    </row>
    <row r="185" ht="17.25" customHeight="1"/>
    <row r="186" spans="2:4" ht="14.25">
      <c r="B186" s="213" t="s">
        <v>358</v>
      </c>
      <c r="D186" s="213" t="str">
        <f>"As＝"&amp;CEILING(D180,0.01)&amp;"*"&amp;10^6&amp;"/("&amp;CEILING('Y向计算'!F66,0.001)&amp;"*"&amp;INDEX('混凝土强度和模量'!$B$20:$B$24,'混凝土强度和模量'!$I$20)&amp;"*"&amp;'Y向计算'!$F$3-'总参数页'!$I$3-5&amp;")＝"&amp;INT(CEILING(D180,0.01)*10^6/(CEILING('Y向计算'!F66,0.001)*INDEX('混凝土强度和模量'!$B$20:$B$24,'混凝土强度和模量'!$I$20)*('Y向计算'!$F$3-'总参数页'!$I$3-5)))&amp;" mm2"</f>
        <v>As＝58.02*1000000/(0.941*300*205)＝1002 mm2</v>
      </c>
    </row>
    <row r="187" ht="14.25">
      <c r="H187" s="255">
        <f>INT(CEILING(D180,0.01)*10^6/(CEILING('Y向计算'!F66,0.001)*INDEX('混凝土强度和模量'!$B$20:$B$24,'混凝土强度和模量'!$I$20)*('Y向计算'!$F$3-'总参数页'!$I$3-5)))</f>
        <v>1002</v>
      </c>
    </row>
    <row r="188" spans="2:5" ht="14.25">
      <c r="B188" s="223" t="str">
        <f>"配"&amp;'选筋（Y向）'!B6&amp;" (As＝"&amp;INT('选筋（Y向）'!B7)&amp;"),   ρ＝"&amp;CEILING('选筋（Y向）'!B9*100,0.001)&amp;"%"</f>
        <v>配φ12@110 (As＝1028),   ρ＝0.412%</v>
      </c>
      <c r="C188" s="224"/>
      <c r="D188" s="224"/>
      <c r="E188" s="249">
        <f>IF('选筋（Y向）'!B7&lt;H187,"不满足！","")</f>
      </c>
    </row>
    <row r="189" ht="14.25">
      <c r="B189" s="213"/>
    </row>
    <row r="190" ht="14.25">
      <c r="B190" s="213" t="s">
        <v>369</v>
      </c>
    </row>
    <row r="191" ht="14.25">
      <c r="B191" s="215"/>
    </row>
    <row r="193" ht="14.25">
      <c r="B193" s="213"/>
    </row>
    <row r="194" spans="2:4" ht="14.25">
      <c r="B194" s="213"/>
      <c r="D194" s="215" t="str">
        <f>"＝"&amp;CEILING('选筋（Y向）'!H8,0.001)&amp;" mm"</f>
        <v>＝0.229 mm</v>
      </c>
    </row>
    <row r="195" spans="2:3" ht="14.25">
      <c r="B195" s="213"/>
      <c r="C195" s="215"/>
    </row>
    <row r="196" spans="2:6" ht="14.25">
      <c r="B196" s="215" t="s">
        <v>360</v>
      </c>
      <c r="D196" s="227" t="str">
        <f>"M3＝"&amp;CEILING(E180,0.01)&amp;" kN*m"</f>
        <v>M3＝25.23 kN*m</v>
      </c>
      <c r="F196" s="209" t="str">
        <f>"γs＝"&amp;CEILING('Y向计算'!G66,0.001)</f>
        <v>γs＝0.975</v>
      </c>
    </row>
    <row r="198" spans="2:4" ht="14.25">
      <c r="B198" s="213" t="s">
        <v>358</v>
      </c>
      <c r="D198" s="213" t="str">
        <f>"As＝"&amp;CEILING(E180,0.01)&amp;"*"&amp;10^6&amp;"/("&amp;CEILING('Y向计算'!G66,0.001)&amp;"*"&amp;INDEX('混凝土强度和模量'!$B$20:$B$24,'混凝土强度和模量'!$I$20)&amp;"*"&amp;'Y向计算'!$F$3-'总参数页'!$I$3-5&amp;")＝"&amp;INT(CEILING(E180,0.01)*10^6/(CEILING('Y向计算'!G66,0.001)*INDEX('混凝土强度和模量'!$B$20:$B$24,'混凝土强度和模量'!$I$20)*('Y向计算'!$F$3-'总参数页'!$I$3-5)))&amp;" mm2"</f>
        <v>As＝25.23*1000000/(0.975*300*205)＝420 mm2</v>
      </c>
    </row>
    <row r="199" ht="14.25">
      <c r="H199" s="255">
        <f>INT(CEILING(E180,0.01)*10^6/(CEILING('Y向计算'!G66,0.001)*INDEX('混凝土强度和模量'!$B$20:$B$24,'混凝土强度和模量'!$I$20)*('Y向计算'!$F$3-'总参数页'!$I$3-5)))</f>
        <v>420</v>
      </c>
    </row>
    <row r="200" spans="2:5" ht="14.25">
      <c r="B200" s="223" t="str">
        <f>"配"&amp;'选筋（Y向）'!C6&amp;" (As＝"&amp;INT('选筋（Y向）'!C7)&amp;"),   ρ＝"&amp;CEILING('选筋（Y向）'!C9*100,0.001)&amp;"%"</f>
        <v>配φ12@200 (As＝565),   ρ＝0.227%</v>
      </c>
      <c r="C200" s="224"/>
      <c r="D200" s="224"/>
      <c r="E200" s="249">
        <f>IF('选筋（Y向）'!C7&lt;H199,"不满足！","")</f>
      </c>
    </row>
    <row r="201" ht="14.25">
      <c r="B201" s="213"/>
    </row>
    <row r="202" ht="14.25">
      <c r="B202" s="213" t="s">
        <v>369</v>
      </c>
    </row>
    <row r="203" ht="14.25">
      <c r="B203" s="215"/>
    </row>
    <row r="205" ht="14.25">
      <c r="B205" s="213"/>
    </row>
    <row r="206" spans="2:4" ht="14.25">
      <c r="B206" s="213"/>
      <c r="D206" s="215" t="str">
        <f>"＝"&amp;CEILING('选筋（Y向）'!I8,0.001)&amp;" mm"</f>
        <v>＝0.119 mm</v>
      </c>
    </row>
    <row r="207" ht="14.25">
      <c r="B207" s="213"/>
    </row>
    <row r="208" spans="2:6" ht="14.25">
      <c r="B208" s="215" t="s">
        <v>361</v>
      </c>
      <c r="D208" s="227" t="str">
        <f>"Mc＝"&amp;CEILING(F180,0.01)&amp;" kN*m"</f>
        <v>Mc＝19.34 kN*m</v>
      </c>
      <c r="F208" s="209" t="str">
        <f>"γs＝"&amp;CEILING('Y向计算'!H66,0.001)</f>
        <v>γs＝0.981</v>
      </c>
    </row>
    <row r="209" ht="17.25" customHeight="1"/>
    <row r="210" spans="2:4" ht="14.25">
      <c r="B210" s="213" t="s">
        <v>370</v>
      </c>
      <c r="D210" s="213" t="str">
        <f>"As＝"&amp;CEILING(F180,0.01)&amp;"*"&amp;10^6&amp;"/("&amp;CEILING('Y向计算'!H66,0.001)&amp;"*"&amp;INDEX('混凝土强度和模量'!$B$20:$B$24,'混凝土强度和模量'!$I$20)&amp;"*"&amp;'Y向计算'!$F$3-'总参数页'!$I$3-5&amp;")＝"&amp;INT(CEILING(F180,0.01)*10^6/(CEILING('Y向计算'!H66,0.001)*INDEX('混凝土强度和模量'!$B$20:$B$24,'混凝土强度和模量'!$I$20)*('Y向计算'!$F$3-'总参数页'!$I$3-5)))&amp;" mm2"</f>
        <v>As＝19.34*1000000/(0.981*300*205)＝320 mm2</v>
      </c>
    </row>
    <row r="211" ht="14.25">
      <c r="H211" s="255">
        <f>INT(CEILING(F180,0.01)*10^6/(CEILING('Y向计算'!H66,0.001)*INDEX('混凝土强度和模量'!$B$20:$B$24,'混凝土强度和模量'!$I$20)*('Y向计算'!$F$3-'总参数页'!$I$3-5)))</f>
        <v>320</v>
      </c>
    </row>
    <row r="212" spans="2:8" ht="14.25">
      <c r="B212" s="223" t="str">
        <f>"配"&amp;'选筋（Y向）'!D6&amp;" (As＝"&amp;INT('选筋（Y向）'!D7)&amp;"),   ρ＝"&amp;CEILING('选筋（Y向）'!D9*100,0.001)&amp;"%"</f>
        <v>配φ12@200 (As＝565),   ρ＝0.227%</v>
      </c>
      <c r="C212" s="224"/>
      <c r="D212" s="224"/>
      <c r="E212" s="249">
        <f>IF('选筋（Y向）'!D7&lt;H211,"不满足！","")</f>
      </c>
      <c r="H212" s="255"/>
    </row>
    <row r="213" ht="14.25">
      <c r="B213" s="213"/>
    </row>
    <row r="214" ht="14.25">
      <c r="B214" s="213" t="s">
        <v>369</v>
      </c>
    </row>
    <row r="215" ht="14.25">
      <c r="B215" s="215"/>
    </row>
    <row r="217" ht="14.25">
      <c r="B217" s="213"/>
    </row>
    <row r="218" spans="2:4" ht="14.25">
      <c r="B218" s="213"/>
      <c r="D218" s="215" t="str">
        <f>"＝"&amp;CEILING('选筋（Y向）'!J8,0.001)&amp;" mm"</f>
        <v>＝0.091 mm</v>
      </c>
    </row>
    <row r="219" spans="2:3" ht="14.25">
      <c r="B219" s="213"/>
      <c r="C219" s="215"/>
    </row>
    <row r="220" spans="2:6" ht="14.25">
      <c r="B220" s="215" t="s">
        <v>362</v>
      </c>
      <c r="D220" s="227" t="str">
        <f>"M3＝"&amp;CEILING(G180,0.01)&amp;" kN*m"</f>
        <v>M3＝20.64 kN*m</v>
      </c>
      <c r="F220" s="209" t="str">
        <f>"γs＝"&amp;CEILING('Y向计算'!I66,0.001)</f>
        <v>γs＝0.98</v>
      </c>
    </row>
    <row r="222" spans="2:4" ht="14.25">
      <c r="B222" s="213" t="s">
        <v>370</v>
      </c>
      <c r="D222" s="213" t="str">
        <f>"As＝"&amp;CEILING(G180,0.01)&amp;"*"&amp;10^6&amp;"/("&amp;CEILING('Y向计算'!I66,0.001)&amp;"*"&amp;INDEX('混凝土强度和模量'!$B$20:$B$24,'混凝土强度和模量'!$I$20)&amp;"*"&amp;'Y向计算'!$F$3-'总参数页'!$I$3-5&amp;")＝"&amp;INT(CEILING(G180,0.01)*10^6/(CEILING('Y向计算'!I66,0.001)*INDEX('混凝土强度和模量'!$B$20:$B$24,'混凝土强度和模量'!$I$20)*('Y向计算'!$F$3-'总参数页'!$I$3-5)))&amp;" mm2"</f>
        <v>As＝20.64*1000000/(0.98*300*205)＝342 mm2</v>
      </c>
    </row>
    <row r="223" ht="14.25">
      <c r="H223" s="255">
        <f>INT(CEILING(G180,0.01)*10^6/(CEILING('Y向计算'!I66,0.001)*INDEX('混凝土强度和模量'!$B$20:$B$24,'混凝土强度和模量'!$I$20)*('Y向计算'!$F$3-'总参数页'!$I$3-5)))</f>
        <v>342</v>
      </c>
    </row>
    <row r="224" spans="2:5" ht="14.25">
      <c r="B224" s="223" t="str">
        <f>"配"&amp;'选筋（Y向）'!E6&amp;" (As＝"&amp;INT('选筋（Y向）'!E7)&amp;"),   ρ＝"&amp;CEILING('选筋（Y向）'!E9*100,0.001)&amp;"%"</f>
        <v>配φ12@200 (As＝565),   ρ＝0.227%</v>
      </c>
      <c r="C224" s="224"/>
      <c r="D224" s="224"/>
      <c r="E224" s="249">
        <f>IF('选筋（Y向）'!E7&lt;H223,"不满足！","")</f>
      </c>
    </row>
    <row r="225" ht="14.25">
      <c r="B225" s="213"/>
    </row>
    <row r="226" ht="14.25">
      <c r="B226" s="213" t="s">
        <v>369</v>
      </c>
    </row>
    <row r="227" ht="14.25">
      <c r="B227" s="215"/>
    </row>
    <row r="229" ht="14.25">
      <c r="B229" s="213"/>
    </row>
    <row r="230" spans="2:4" ht="14.25">
      <c r="B230" s="213"/>
      <c r="D230" s="215" t="str">
        <f>"＝"&amp;CEILING('选筋（Y向）'!K8,0.001)&amp;" mm"</f>
        <v>＝0.097 mm</v>
      </c>
    </row>
  </sheetData>
  <sheetProtection sheet="1" objects="1" scenarios="1"/>
  <mergeCells count="21">
    <mergeCell ref="F81:G81"/>
    <mergeCell ref="B3:H3"/>
    <mergeCell ref="C172:G172"/>
    <mergeCell ref="E44:H44"/>
    <mergeCell ref="C173:C175"/>
    <mergeCell ref="C161:C163"/>
    <mergeCell ref="C81:C83"/>
    <mergeCell ref="C160:G160"/>
    <mergeCell ref="F161:G161"/>
    <mergeCell ref="D173:E173"/>
    <mergeCell ref="F173:G173"/>
    <mergeCell ref="D161:E161"/>
    <mergeCell ref="D81:E81"/>
    <mergeCell ref="C80:G80"/>
    <mergeCell ref="B2:H2"/>
    <mergeCell ref="C67:C69"/>
    <mergeCell ref="B43:H43"/>
    <mergeCell ref="C66:G66"/>
    <mergeCell ref="D67:E67"/>
    <mergeCell ref="F67:G67"/>
    <mergeCell ref="B44:D44"/>
  </mergeCells>
  <conditionalFormatting sqref="A28:I42">
    <cfRule type="expression" priority="1" dxfId="0" stopIfTrue="1">
      <formula>$K$28=2</formula>
    </cfRule>
  </conditionalFormatting>
  <printOptions/>
  <pageMargins left="0.75" right="0.75" top="1" bottom="1" header="0.5" footer="0.5"/>
  <pageSetup horizontalDpi="600" verticalDpi="600" orientation="portrait" paperSize="9" scale="92" r:id="rId18"/>
  <rowBreaks count="3" manualBreakCount="3">
    <brk id="92" max="8" man="1"/>
    <brk id="141" max="8" man="1"/>
    <brk id="182" max="8" man="1"/>
  </rowBreaks>
  <drawing r:id="rId17"/>
  <legacyDrawing r:id="rId16"/>
  <oleObjects>
    <oleObject progId="Equation.3" shapeId="1805092" r:id="rId1"/>
    <oleObject progId="Equation.3" shapeId="1805093" r:id="rId2"/>
    <oleObject progId="Equation.3" shapeId="1805094" r:id="rId3"/>
    <oleObject progId="Equation.3" shapeId="1805095" r:id="rId4"/>
    <oleObject progId="Equation.3" shapeId="1805096" r:id="rId5"/>
    <oleObject progId="Equation.3" shapeId="1805097" r:id="rId6"/>
    <oleObject progId="Equation.3" shapeId="1805098" r:id="rId7"/>
    <oleObject progId="Equation.3" shapeId="1805099" r:id="rId8"/>
    <oleObject progId="Equation.3" shapeId="1805100" r:id="rId9"/>
    <oleObject progId="Equation.3" shapeId="1805101" r:id="rId10"/>
    <oleObject progId="Equation.3" shapeId="1805102" r:id="rId11"/>
    <oleObject progId="Equation.3" shapeId="1805103" r:id="rId12"/>
    <oleObject progId="Equation.3" shapeId="1805104" r:id="rId13"/>
    <oleObject progId="Equation.3" shapeId="1805105" r:id="rId14"/>
    <oleObject progId="Equation.3" shapeId="1805106" r:id="rId15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2:K230"/>
  <sheetViews>
    <sheetView view="pageBreakPreview" zoomScaleSheetLayoutView="100" zoomScalePageLayoutView="0" workbookViewId="0" topLeftCell="A112">
      <selection activeCell="F94" sqref="F94"/>
    </sheetView>
  </sheetViews>
  <sheetFormatPr defaultColWidth="9.00390625" defaultRowHeight="14.25"/>
  <cols>
    <col min="1" max="1" width="3.625" style="209" customWidth="1"/>
    <col min="2" max="2" width="8.875" style="209" customWidth="1"/>
    <col min="3" max="3" width="20.50390625" style="209" customWidth="1"/>
    <col min="4" max="4" width="11.375" style="209" customWidth="1"/>
    <col min="5" max="5" width="11.50390625" style="249" customWidth="1"/>
    <col min="6" max="6" width="9.00390625" style="209" customWidth="1"/>
    <col min="7" max="7" width="9.25390625" style="209" customWidth="1"/>
    <col min="8" max="8" width="8.125" style="253" customWidth="1"/>
    <col min="9" max="9" width="5.00390625" style="209" customWidth="1"/>
    <col min="10" max="16384" width="9.00390625" style="209" customWidth="1"/>
  </cols>
  <sheetData>
    <row r="2" spans="2:11" ht="14.25">
      <c r="B2" s="357" t="str">
        <f>'总参数页'!B1&amp;"无梁楼板计算书"</f>
        <v>xxx无梁楼板计算书</v>
      </c>
      <c r="C2" s="357"/>
      <c r="D2" s="357"/>
      <c r="E2" s="357"/>
      <c r="F2" s="357"/>
      <c r="G2" s="357"/>
      <c r="H2" s="357"/>
      <c r="I2" s="208"/>
      <c r="J2" s="212"/>
      <c r="K2" s="212"/>
    </row>
    <row r="3" spans="2:11" ht="14.25">
      <c r="B3" s="363" t="s">
        <v>283</v>
      </c>
      <c r="C3" s="363"/>
      <c r="D3" s="363"/>
      <c r="E3" s="363"/>
      <c r="F3" s="363"/>
      <c r="G3" s="363"/>
      <c r="H3" s="363"/>
      <c r="I3" s="210"/>
      <c r="J3" s="213"/>
      <c r="K3" s="213"/>
    </row>
    <row r="4" ht="14.25">
      <c r="A4" s="211" t="s">
        <v>284</v>
      </c>
    </row>
    <row r="5" ht="15" thickBot="1">
      <c r="B5"/>
    </row>
    <row r="6" spans="2:6" ht="19.5" customHeight="1">
      <c r="B6" s="240" t="s">
        <v>285</v>
      </c>
      <c r="C6" s="242" t="str">
        <f>INDEX('混凝土强度和模量'!A4:A17,'混凝土强度和模量'!I4)</f>
        <v>C30</v>
      </c>
      <c r="D6" s="231" t="s">
        <v>286</v>
      </c>
      <c r="E6" s="257">
        <f>'总参数页'!F3</f>
        <v>3</v>
      </c>
      <c r="F6" s="216" t="s">
        <v>287</v>
      </c>
    </row>
    <row r="7" spans="2:6" ht="17.25" customHeight="1">
      <c r="B7" s="241" t="s">
        <v>288</v>
      </c>
      <c r="C7" s="243" t="str">
        <f>INDEX('混凝土强度和模量'!A20:A24,'混凝土强度和模量'!I20)</f>
        <v>HRB335</v>
      </c>
      <c r="D7" s="220" t="s">
        <v>289</v>
      </c>
      <c r="E7" s="258">
        <f>'总参数页'!F4</f>
        <v>3.4</v>
      </c>
      <c r="F7" s="217" t="s">
        <v>287</v>
      </c>
    </row>
    <row r="8" spans="2:6" ht="18.75" customHeight="1">
      <c r="B8" s="241" t="s">
        <v>290</v>
      </c>
      <c r="C8" s="243" t="str">
        <f>INDEX('混凝土强度和模量'!A27:A31,'混凝土强度和模量'!J27)</f>
        <v>均布荷载</v>
      </c>
      <c r="D8" s="220" t="s">
        <v>291</v>
      </c>
      <c r="E8" s="244">
        <f>'总参数页'!F5</f>
        <v>250</v>
      </c>
      <c r="F8" s="217" t="s">
        <v>292</v>
      </c>
    </row>
    <row r="9" spans="2:6" ht="17.25" customHeight="1">
      <c r="B9" s="270" t="s">
        <v>373</v>
      </c>
      <c r="C9" s="244" t="str">
        <f>'总参数页'!B7&amp;" mm"</f>
        <v>0.3 mm</v>
      </c>
      <c r="D9" s="220" t="s">
        <v>405</v>
      </c>
      <c r="E9" s="244">
        <f>'总参数页'!F6</f>
        <v>40</v>
      </c>
      <c r="F9" s="217" t="s">
        <v>293</v>
      </c>
    </row>
    <row r="10" spans="2:6" ht="15" thickBot="1">
      <c r="B10" s="225"/>
      <c r="C10" s="218"/>
      <c r="D10" s="226" t="s">
        <v>374</v>
      </c>
      <c r="E10" s="256">
        <f>'总参数页'!F7</f>
        <v>0</v>
      </c>
      <c r="F10" s="219" t="s">
        <v>293</v>
      </c>
    </row>
    <row r="11" spans="2:6" ht="14.25">
      <c r="B11" s="232"/>
      <c r="C11" s="232"/>
      <c r="D11" s="233"/>
      <c r="E11" s="250"/>
      <c r="F11" s="232"/>
    </row>
    <row r="12" spans="2:6" ht="14.25">
      <c r="B12" s="232"/>
      <c r="C12" s="232"/>
      <c r="D12" s="233"/>
      <c r="E12" s="250"/>
      <c r="F12" s="232"/>
    </row>
    <row r="13" spans="2:5" ht="14.25">
      <c r="B13" s="213"/>
      <c r="E13" s="250"/>
    </row>
    <row r="14" ht="24" customHeight="1">
      <c r="A14" s="211" t="s">
        <v>310</v>
      </c>
    </row>
    <row r="15" ht="14.25">
      <c r="B15" s="227" t="str">
        <f>"1、        恒载：     gk＝"&amp;'总参数页'!F5/1000&amp;"*25"&amp;"+"&amp;'总参数页'!F7&amp;"="&amp;'X向计算'!D46&amp;" kN/m2"</f>
        <v>1、        恒载：     gk＝0.25*25+0=6.25 kN/m2</v>
      </c>
    </row>
    <row r="16" ht="14.25">
      <c r="B16" s="213" t="str">
        <f>"              活载：     p＝"&amp;'总参数页'!F6&amp;" kN/m2"</f>
        <v>              活载：     p＝40 kN/m2</v>
      </c>
    </row>
    <row r="17" ht="14.25">
      <c r="B17" s="213"/>
    </row>
    <row r="18" ht="14.25">
      <c r="B18" s="213" t="s">
        <v>322</v>
      </c>
    </row>
    <row r="19" ht="14.25">
      <c r="B19" s="213" t="str">
        <f>"                              qk＝"&amp;'X向计算'!D46&amp;"+"&amp;'X向计算'!A46&amp;"="&amp;'X向计算'!D46+'X向计算'!A46&amp;" kN/m2"</f>
        <v>                              qk＝6.25+40=46.25 kN/m2</v>
      </c>
    </row>
    <row r="20" ht="14.25">
      <c r="B20" s="215" t="s">
        <v>323</v>
      </c>
    </row>
    <row r="21" ht="14.25">
      <c r="B21" s="213" t="str">
        <f>"                              q＝"&amp;'X向计算'!E46&amp;"*"&amp;'X向计算'!D46&amp;"+"&amp;'X向计算'!F46&amp;"*"&amp;'X向计算'!A46&amp;"="&amp;'X向计算'!E46*'X向计算'!D46+'X向计算'!F46*'X向计算'!A46&amp;" kN/m2"</f>
        <v>                              q＝1.2*6.25+1.3*40=59.5 kN/m2</v>
      </c>
    </row>
    <row r="22" ht="14.25">
      <c r="B22" s="213"/>
    </row>
    <row r="23" ht="14.25">
      <c r="B23" s="215" t="s">
        <v>407</v>
      </c>
    </row>
    <row r="24" ht="18" customHeight="1">
      <c r="B24" s="213" t="str">
        <f>"                               Nk="&amp;('X向计算'!D46+'X向计算'!A46)&amp;"*"&amp;'X向计算'!F1&amp;"*"&amp;'X向计算'!F2&amp;"="&amp;INT(('X向计算'!D46+'X向计算'!A46)*'X向计算'!F1*'X向计算'!F2)&amp;" kN"</f>
        <v>                               Nk=46.25*3*3.4=471 kN</v>
      </c>
    </row>
    <row r="25" ht="18" customHeight="1">
      <c r="B25" s="213"/>
    </row>
    <row r="26" ht="22.5" customHeight="1">
      <c r="A26" s="211" t="s">
        <v>294</v>
      </c>
    </row>
    <row r="27" ht="14.25">
      <c r="B27" s="214" t="s">
        <v>295</v>
      </c>
    </row>
    <row r="28" ht="14.25">
      <c r="B28" s="214"/>
    </row>
    <row r="29" ht="14.25">
      <c r="B29" s="213"/>
    </row>
    <row r="31" ht="14.25">
      <c r="B31" s="213"/>
    </row>
    <row r="32" ht="14.25">
      <c r="B32" s="213"/>
    </row>
    <row r="33" ht="14.25">
      <c r="B33" s="213"/>
    </row>
    <row r="34" ht="14.25">
      <c r="B34" s="213"/>
    </row>
    <row r="35" ht="14.25">
      <c r="B35" s="213"/>
    </row>
    <row r="36" ht="14.25">
      <c r="B36" s="213"/>
    </row>
    <row r="37" ht="14.25">
      <c r="B37" s="213"/>
    </row>
    <row r="38" ht="14.25">
      <c r="B38" s="213"/>
    </row>
    <row r="39" ht="14.25">
      <c r="B39" s="213"/>
    </row>
    <row r="40" ht="14.25">
      <c r="B40" s="213"/>
    </row>
    <row r="41" ht="14.25">
      <c r="B41" s="213"/>
    </row>
    <row r="43" spans="2:8" ht="15" thickBot="1">
      <c r="B43" s="359" t="s">
        <v>406</v>
      </c>
      <c r="C43" s="359"/>
      <c r="D43" s="359"/>
      <c r="E43" s="359"/>
      <c r="F43" s="359"/>
      <c r="G43" s="359"/>
      <c r="H43" s="359"/>
    </row>
    <row r="44" spans="2:8" ht="15" thickBot="1">
      <c r="B44" s="360" t="s">
        <v>296</v>
      </c>
      <c r="C44" s="361"/>
      <c r="D44" s="362"/>
      <c r="E44" s="360" t="s">
        <v>297</v>
      </c>
      <c r="F44" s="361"/>
      <c r="G44" s="361"/>
      <c r="H44" s="362"/>
    </row>
    <row r="45" spans="2:8" ht="15" thickBot="1">
      <c r="B45" s="228"/>
      <c r="C45" s="228"/>
      <c r="D45" s="228"/>
      <c r="E45" s="251"/>
      <c r="F45" s="228"/>
      <c r="G45" s="228"/>
      <c r="H45" s="254"/>
    </row>
    <row r="46" spans="2:8" ht="15" thickBot="1">
      <c r="B46" s="229">
        <v>0.0782</v>
      </c>
      <c r="C46" s="229">
        <v>0.0332</v>
      </c>
      <c r="D46" s="229">
        <v>0.0469</v>
      </c>
      <c r="E46" s="229">
        <v>-0.105</v>
      </c>
      <c r="F46" s="229">
        <v>-0.0791</v>
      </c>
      <c r="G46" s="229">
        <v>-0.0791</v>
      </c>
      <c r="H46" s="283">
        <v>-0.105</v>
      </c>
    </row>
    <row r="47" ht="14.25">
      <c r="B47" s="213"/>
    </row>
    <row r="48" ht="14.25">
      <c r="B48" s="213"/>
    </row>
    <row r="49" ht="14.25">
      <c r="B49" s="213"/>
    </row>
    <row r="50" ht="14.25">
      <c r="A50" s="214" t="s">
        <v>298</v>
      </c>
    </row>
    <row r="51" ht="14.25">
      <c r="B51" s="213"/>
    </row>
    <row r="52" ht="14.25">
      <c r="B52" s="215" t="str">
        <f>"取内跨计算，柱帽宽度取c="&amp;'总参数页'!$I$5/1000&amp;"m，板带宽取 B="&amp;'X向计算'!$F$2&amp;"/2＝"&amp;'X向计算'!$F$2/2&amp;"m，h0＝"&amp;'X向计算'!$F$3&amp;"-"&amp;'总参数页'!$I$3+5&amp;"="&amp;'X向计算'!$F$3-'总参数页'!$I$3-5&amp;"mm，"</f>
        <v>取内跨计算，柱帽宽度取c=0.8m，板带宽取 B=3.4/2＝1.7m，h0＝250-45=205mm，</v>
      </c>
    </row>
    <row r="53" ht="14.25">
      <c r="B53" s="215"/>
    </row>
    <row r="54" ht="14.25">
      <c r="B54" s="222" t="s">
        <v>324</v>
      </c>
    </row>
    <row r="55" ht="18.75">
      <c r="C55" s="213" t="s">
        <v>339</v>
      </c>
    </row>
    <row r="56" ht="14.25">
      <c r="B56" s="213"/>
    </row>
    <row r="57" ht="14.25">
      <c r="C57" s="221" t="str">
        <f>"＝"&amp;CEILING('X向计算'!M46,0.01)&amp;" kN*m"</f>
        <v>＝956.78 kN*m</v>
      </c>
    </row>
    <row r="58" ht="14.25">
      <c r="B58" s="213" t="s">
        <v>299</v>
      </c>
    </row>
    <row r="59" ht="14.25">
      <c r="B59" s="213"/>
    </row>
    <row r="60" ht="14.25">
      <c r="B60" s="213" t="s">
        <v>325</v>
      </c>
    </row>
    <row r="61" ht="18.75">
      <c r="C61" s="213" t="s">
        <v>341</v>
      </c>
    </row>
    <row r="62" ht="14.25">
      <c r="B62" s="213"/>
    </row>
    <row r="63" spans="2:3" ht="14.25">
      <c r="B63" s="213" t="s">
        <v>300</v>
      </c>
      <c r="C63" s="221" t="str">
        <f>"         ＝"&amp;CEILING('X向计算'!L46,0.01)&amp;" kN*m"</f>
        <v>         ＝1230.89 kN*m</v>
      </c>
    </row>
    <row r="64" ht="14.25">
      <c r="B64" s="213"/>
    </row>
    <row r="65" ht="14.25">
      <c r="B65" s="213"/>
    </row>
    <row r="66" spans="2:7" ht="14.25">
      <c r="B66" s="213"/>
      <c r="C66" s="356" t="s">
        <v>301</v>
      </c>
      <c r="D66" s="356"/>
      <c r="E66" s="356"/>
      <c r="F66" s="356"/>
      <c r="G66" s="356"/>
    </row>
    <row r="67" spans="3:7" ht="14.25">
      <c r="C67" s="358"/>
      <c r="D67" s="354" t="s">
        <v>302</v>
      </c>
      <c r="E67" s="355"/>
      <c r="F67" s="354" t="s">
        <v>303</v>
      </c>
      <c r="G67" s="355"/>
    </row>
    <row r="68" spans="3:7" ht="14.25">
      <c r="C68" s="358"/>
      <c r="D68" s="220" t="s">
        <v>304</v>
      </c>
      <c r="E68" s="220" t="s">
        <v>306</v>
      </c>
      <c r="F68" s="220" t="s">
        <v>304</v>
      </c>
      <c r="G68" s="220" t="s">
        <v>306</v>
      </c>
    </row>
    <row r="69" spans="3:7" ht="14.25">
      <c r="C69" s="358"/>
      <c r="D69" s="220" t="s">
        <v>305</v>
      </c>
      <c r="E69" s="220" t="s">
        <v>305</v>
      </c>
      <c r="F69" s="220" t="s">
        <v>305</v>
      </c>
      <c r="G69" s="220" t="s">
        <v>305</v>
      </c>
    </row>
    <row r="70" spans="3:7" ht="21.75" customHeight="1">
      <c r="C70" s="234" t="s">
        <v>307</v>
      </c>
      <c r="D70" s="220">
        <f>'X向计算'!F53</f>
        <v>0.0791</v>
      </c>
      <c r="E70" s="220">
        <f>'X向计算'!G53</f>
        <v>0.046900000000000004</v>
      </c>
      <c r="F70" s="220">
        <f>'X向计算'!H53</f>
        <v>0.0791</v>
      </c>
      <c r="G70" s="220">
        <f>'X向计算'!I53</f>
        <v>0.046900000000000004</v>
      </c>
    </row>
    <row r="71" spans="3:7" ht="20.25" customHeight="1">
      <c r="C71" s="234" t="s">
        <v>318</v>
      </c>
      <c r="D71" s="220">
        <f>'X向计算'!F54</f>
        <v>0.75</v>
      </c>
      <c r="E71" s="220">
        <f>'X向计算'!G54</f>
        <v>0.55</v>
      </c>
      <c r="F71" s="220">
        <f>'X向计算'!H54</f>
        <v>0.25</v>
      </c>
      <c r="G71" s="220">
        <f>'X向计算'!I54</f>
        <v>0.45</v>
      </c>
    </row>
    <row r="72" spans="3:7" ht="26.25">
      <c r="C72" s="234" t="s">
        <v>315</v>
      </c>
      <c r="D72" s="235">
        <f>'X向计算'!F88</f>
        <v>75.68121011111113</v>
      </c>
      <c r="E72" s="235">
        <f>'X向计算'!G88</f>
        <v>44.8729298888889</v>
      </c>
      <c r="F72" s="235">
        <f>'X向计算'!H88</f>
        <v>75.68121011111113</v>
      </c>
      <c r="G72" s="235">
        <f>'X向计算'!I88</f>
        <v>44.8729298888889</v>
      </c>
    </row>
    <row r="73" spans="3:7" ht="26.25">
      <c r="C73" s="234" t="s">
        <v>316</v>
      </c>
      <c r="D73" s="235">
        <f>'X向计算'!F89</f>
        <v>56.76090758333335</v>
      </c>
      <c r="E73" s="235">
        <f>'X向计算'!G89</f>
        <v>24.680111438888897</v>
      </c>
      <c r="F73" s="235">
        <f>'X向计算'!H89</f>
        <v>18.920302527777782</v>
      </c>
      <c r="G73" s="235">
        <f>'X向计算'!I89</f>
        <v>20.192818450000004</v>
      </c>
    </row>
    <row r="74" spans="3:7" ht="26.25">
      <c r="C74" s="234" t="s">
        <v>317</v>
      </c>
      <c r="D74" s="235">
        <f>'X向计算'!F90</f>
        <v>33.38876916666668</v>
      </c>
      <c r="E74" s="235">
        <f>'X向计算'!G90</f>
        <v>14.517712611111117</v>
      </c>
      <c r="F74" s="235">
        <f>'X向计算'!H90</f>
        <v>11.129589722222224</v>
      </c>
      <c r="G74" s="235">
        <f>'X向计算'!I90</f>
        <v>11.878128500000003</v>
      </c>
    </row>
    <row r="76" ht="14.25">
      <c r="B76" s="213"/>
    </row>
    <row r="79" ht="14.25">
      <c r="B79" s="213"/>
    </row>
    <row r="80" spans="2:7" ht="14.25">
      <c r="B80" s="213"/>
      <c r="C80" s="356" t="s">
        <v>311</v>
      </c>
      <c r="D80" s="356"/>
      <c r="E80" s="356"/>
      <c r="F80" s="356"/>
      <c r="G80" s="356"/>
    </row>
    <row r="81" spans="3:7" ht="14.25">
      <c r="C81" s="358"/>
      <c r="D81" s="354" t="s">
        <v>302</v>
      </c>
      <c r="E81" s="355"/>
      <c r="F81" s="354" t="s">
        <v>303</v>
      </c>
      <c r="G81" s="355"/>
    </row>
    <row r="82" spans="3:7" ht="14.25">
      <c r="C82" s="358"/>
      <c r="D82" s="220" t="s">
        <v>304</v>
      </c>
      <c r="E82" s="220" t="s">
        <v>306</v>
      </c>
      <c r="F82" s="220" t="s">
        <v>304</v>
      </c>
      <c r="G82" s="220" t="s">
        <v>306</v>
      </c>
    </row>
    <row r="83" spans="3:7" ht="14.25">
      <c r="C83" s="358"/>
      <c r="D83" s="220" t="s">
        <v>305</v>
      </c>
      <c r="E83" s="220" t="s">
        <v>305</v>
      </c>
      <c r="F83" s="220" t="s">
        <v>305</v>
      </c>
      <c r="G83" s="220" t="s">
        <v>305</v>
      </c>
    </row>
    <row r="84" spans="3:7" ht="21.75" customHeight="1">
      <c r="C84" s="234" t="s">
        <v>307</v>
      </c>
      <c r="D84" s="220">
        <f>'X向计算'!F53</f>
        <v>0.0791</v>
      </c>
      <c r="E84" s="220">
        <f>'X向计算'!G53</f>
        <v>0.046900000000000004</v>
      </c>
      <c r="F84" s="220">
        <f>'X向计算'!H53</f>
        <v>0.0791</v>
      </c>
      <c r="G84" s="220">
        <f>'X向计算'!I53</f>
        <v>0.046900000000000004</v>
      </c>
    </row>
    <row r="85" spans="3:7" ht="20.25" customHeight="1">
      <c r="C85" s="234" t="s">
        <v>308</v>
      </c>
      <c r="D85" s="220">
        <f>'X向计算'!F54</f>
        <v>0.75</v>
      </c>
      <c r="E85" s="220">
        <f>'X向计算'!G54</f>
        <v>0.55</v>
      </c>
      <c r="F85" s="220">
        <f>'X向计算'!H54</f>
        <v>0.25</v>
      </c>
      <c r="G85" s="220">
        <f>'X向计算'!I54</f>
        <v>0.45</v>
      </c>
    </row>
    <row r="86" spans="3:7" ht="26.25">
      <c r="C86" s="234" t="s">
        <v>312</v>
      </c>
      <c r="D86" s="235">
        <f>'X向计算'!F58</f>
        <v>97.36285408888891</v>
      </c>
      <c r="E86" s="235">
        <f>'X向计算'!G58</f>
        <v>57.72841791111112</v>
      </c>
      <c r="F86" s="235">
        <f>'X向计算'!H58</f>
        <v>97.36285408888891</v>
      </c>
      <c r="G86" s="235">
        <f>'X向计算'!I58</f>
        <v>57.72841791111112</v>
      </c>
    </row>
    <row r="87" spans="3:7" ht="26.25">
      <c r="C87" s="234" t="s">
        <v>313</v>
      </c>
      <c r="D87" s="235">
        <f>'X向计算'!F59</f>
        <v>73.02214056666668</v>
      </c>
      <c r="E87" s="235">
        <f>'X向计算'!G59</f>
        <v>31.75062985111112</v>
      </c>
      <c r="F87" s="235">
        <f>'X向计算'!H59</f>
        <v>24.340713522222227</v>
      </c>
      <c r="G87" s="235">
        <f>'X向计算'!I59</f>
        <v>25.977788060000005</v>
      </c>
    </row>
    <row r="88" spans="3:7" ht="26.25">
      <c r="C88" s="234" t="s">
        <v>314</v>
      </c>
      <c r="D88" s="235">
        <f>CEILING('X向计算'!F60,0.01)</f>
        <v>42.96</v>
      </c>
      <c r="E88" s="235">
        <f>CEILING('X向计算'!G60,0.01)</f>
        <v>18.68</v>
      </c>
      <c r="F88" s="235">
        <f>CEILING('X向计算'!H60,0.01)</f>
        <v>14.32</v>
      </c>
      <c r="G88" s="235">
        <f>CEILING('X向计算'!I60,0.01)</f>
        <v>15.290000000000001</v>
      </c>
    </row>
    <row r="90" ht="14.25">
      <c r="B90" s="213"/>
    </row>
    <row r="91" ht="14.25">
      <c r="B91" s="213"/>
    </row>
    <row r="92" ht="14.25">
      <c r="B92" s="213"/>
    </row>
    <row r="93" ht="14.25">
      <c r="B93" s="213"/>
    </row>
    <row r="94" spans="2:4" ht="14.25">
      <c r="B94" s="215" t="s">
        <v>326</v>
      </c>
      <c r="D94" s="227" t="str">
        <f>" Mc＝"&amp;CEILING(D88,0.01)&amp;" kN*m"</f>
        <v> Mc＝42.96 kN*m</v>
      </c>
    </row>
    <row r="95" ht="17.25" customHeight="1"/>
    <row r="96" spans="2:7" ht="14.25">
      <c r="B96" s="213" t="s">
        <v>336</v>
      </c>
      <c r="D96" s="213" t="str">
        <f>"As＝"&amp;CEILING(D88,0.01)&amp;"*"&amp;10^6&amp;"/("&amp;0.9&amp;"*"&amp;INDEX('混凝土强度和模量'!$B$20:$B$24,'混凝土强度和模量'!$I$20)&amp;"*"&amp;'X向计算'!$F$3-'总参数页'!$I$3-5&amp;")＝"&amp;INT(CEILING(D88,0.01)*10^6/(0.9*INDEX('混凝土强度和模量'!$B$20:$B$24,'混凝土强度和模量'!$I$20)*('X向计算'!$F$3-'总参数页'!$I$3-5)))&amp;" mm2"</f>
        <v>As＝42.96*1000000/(0.9*300*205)＝776 mm2</v>
      </c>
      <c r="G96" s="230"/>
    </row>
    <row r="97" spans="7:8" ht="16.5">
      <c r="G97" s="263"/>
      <c r="H97" s="255">
        <f>INT(CEILING(D88,0.01)*10^6/(0.9*INDEX('混凝土强度和模量'!$B$20:$B$24,'混凝土强度和模量'!$I$20)*('X向计算'!$F$3-'总参数页'!$I$3-5)))</f>
        <v>776</v>
      </c>
    </row>
    <row r="98" spans="2:5" ht="14.25">
      <c r="B98" s="223" t="str">
        <f>"配"&amp;'选筋（X向）'!B16&amp;" (As＝"&amp;INT('选筋（X向）'!B17)&amp;"),   ρ＝"&amp;CEILING('选筋（X向）'!B19*100,0.001)&amp;"%"</f>
        <v>配φ12@100 (As＝1130),   ρ＝0.453%</v>
      </c>
      <c r="C98" s="224"/>
      <c r="D98" s="224"/>
      <c r="E98" s="248">
        <f>IF('选筋（X向）'!B17&lt;As,"不满足！","")</f>
      </c>
    </row>
    <row r="99" ht="14.25">
      <c r="B99" s="213"/>
    </row>
    <row r="100" ht="14.25">
      <c r="B100" s="215" t="s">
        <v>334</v>
      </c>
    </row>
    <row r="101" ht="14.25">
      <c r="B101" s="215"/>
    </row>
    <row r="103" ht="14.25">
      <c r="B103" s="213"/>
    </row>
    <row r="104" spans="2:4" ht="14.25">
      <c r="B104" s="213"/>
      <c r="D104" s="267" t="str">
        <f>"＝"&amp;CEILING('选筋（X向）'!H18,0.001)&amp;" mm"</f>
        <v>＝0.074 mm</v>
      </c>
    </row>
    <row r="105" spans="2:3" ht="14.25">
      <c r="B105" s="213"/>
      <c r="C105" s="215"/>
    </row>
    <row r="106" spans="2:4" ht="14.25">
      <c r="B106" s="215" t="s">
        <v>327</v>
      </c>
      <c r="D106" s="227" t="str">
        <f>"M3＝"&amp;CEILING(E88,0.01)&amp;" kN*m"</f>
        <v>M3＝18.68 kN*m</v>
      </c>
    </row>
    <row r="108" spans="2:4" ht="14.25">
      <c r="B108" s="213" t="s">
        <v>337</v>
      </c>
      <c r="D108" s="213" t="str">
        <f>"As＝"&amp;CEILING(E88,0.01)&amp;"*"&amp;10^6&amp;"/("&amp;0.9&amp;"*"&amp;INDEX('混凝土强度和模量'!$B$20:$B$24,'混凝土强度和模量'!$I$20)&amp;"*"&amp;'X向计算'!$F$3-'总参数页'!$I$3-5&amp;")＝"&amp;INT(CEILING(E88,0.01)*10^6/(0.9*INDEX('混凝土强度和模量'!$B$20:$B$24,'混凝土强度和模量'!$I$20)*('X向计算'!$F$3-'总参数页'!$I$3-5)))&amp;" mm2"</f>
        <v>As＝18.68*1000000/(0.9*300*205)＝337 mm2</v>
      </c>
    </row>
    <row r="109" ht="14.25">
      <c r="H109" s="255">
        <f>INT(CEILING(E88,0.01)*10^6/(0.9*INDEX('混凝土强度和模量'!$B$20:$B$24,'混凝土强度和模量'!$I$20)*('X向计算'!$F$3-'总参数页'!$I$3-5)))</f>
        <v>337</v>
      </c>
    </row>
    <row r="110" spans="2:8" ht="14.25">
      <c r="B110" s="223" t="str">
        <f>"配"&amp;'选筋（X向）'!C16&amp;" (As＝"&amp;INT('选筋（X向）'!C17)&amp;"),   ρ＝"&amp;CEILING('选筋（X向）'!C19*100,0.001)&amp;"%"</f>
        <v>配φ12@130 (As＝869),   ρ＝0.348%</v>
      </c>
      <c r="C110" s="224"/>
      <c r="D110" s="224"/>
      <c r="E110" s="248">
        <f>IF('选筋（X向）'!C17&lt;H109,"不满足！","")</f>
      </c>
      <c r="H110" s="255"/>
    </row>
    <row r="111" ht="14.25">
      <c r="B111" s="213"/>
    </row>
    <row r="112" ht="14.25">
      <c r="B112" s="215" t="s">
        <v>334</v>
      </c>
    </row>
    <row r="113" ht="14.25">
      <c r="B113" s="215"/>
    </row>
    <row r="115" ht="14.25">
      <c r="B115" s="213"/>
    </row>
    <row r="116" spans="2:4" ht="14.25">
      <c r="B116" s="213"/>
      <c r="D116" s="215" t="str">
        <f>"＝"&amp;CEILING('选筋（X向）'!I18,0.001)&amp;" mm"</f>
        <v>＝0.043 mm</v>
      </c>
    </row>
    <row r="117" ht="14.25">
      <c r="B117" s="213"/>
    </row>
    <row r="118" spans="2:4" ht="14.25">
      <c r="B118" s="215" t="s">
        <v>328</v>
      </c>
      <c r="D118" s="227" t="str">
        <f>"Mc＝"&amp;CEILING(F88,0.01)&amp;" kN*m"</f>
        <v>Mc＝14.32 kN*m</v>
      </c>
    </row>
    <row r="119" ht="17.25" customHeight="1"/>
    <row r="120" spans="2:4" ht="14.25">
      <c r="B120" s="213" t="s">
        <v>337</v>
      </c>
      <c r="D120" s="213" t="str">
        <f>"As＝"&amp;CEILING(F88,0.01)&amp;"*"&amp;10^6&amp;"/("&amp;0.9&amp;"*"&amp;INDEX('混凝土强度和模量'!$B$20:$B$24,'混凝土强度和模量'!$I$20)&amp;"*"&amp;'X向计算'!$F$3-'总参数页'!$I$3-5&amp;")＝"&amp;INT(CEILING(F88,0.01)*10^6/(0.9*INDEX('混凝土强度和模量'!$B$20:$B$24,'混凝土强度和模量'!$I$20)*('X向计算'!$F$3-'总参数页'!$I$3-5)))&amp;" mm2"</f>
        <v>As＝14.32*1000000/(0.9*300*205)＝258 mm2</v>
      </c>
    </row>
    <row r="121" ht="14.25">
      <c r="H121" s="255">
        <f>INT(CEILING(F88,0.01)*10^6/(0.9*INDEX('混凝土强度和模量'!$B$20:$B$24,'混凝土强度和模量'!$I$20)*('X向计算'!$F$3-'总参数页'!$I$3-5)))</f>
        <v>258</v>
      </c>
    </row>
    <row r="122" spans="2:8" ht="14.25">
      <c r="B122" s="223" t="str">
        <f>"配"&amp;'选筋（X向）'!D16&amp;" (As＝"&amp;INT('选筋（X向）'!D17)&amp;"),   ρ＝"&amp;CEILING('选筋（X向）'!D19*100,0.001)&amp;"%"</f>
        <v>配φ12@200 (As＝565),   ρ＝0.227%</v>
      </c>
      <c r="C122" s="224"/>
      <c r="D122" s="224"/>
      <c r="E122" s="249">
        <f>IF('选筋（X向）'!D17&lt;H121,"不满足！","")</f>
      </c>
      <c r="H122" s="255"/>
    </row>
    <row r="123" ht="14.25">
      <c r="B123" s="213"/>
    </row>
    <row r="124" ht="14.25">
      <c r="B124" s="215" t="s">
        <v>334</v>
      </c>
    </row>
    <row r="125" ht="14.25">
      <c r="B125" s="215"/>
    </row>
    <row r="127" ht="14.25">
      <c r="B127" s="213"/>
    </row>
    <row r="128" spans="2:4" ht="14.25">
      <c r="B128" s="213"/>
      <c r="D128" s="215" t="str">
        <f>"＝"&amp;CEILING('选筋（X向）'!J18,0.001)&amp;" mm"</f>
        <v>＝0.068 mm</v>
      </c>
    </row>
    <row r="129" spans="2:3" ht="14.25">
      <c r="B129" s="213"/>
      <c r="C129" s="215"/>
    </row>
    <row r="130" spans="2:4" ht="14.25">
      <c r="B130" s="215" t="s">
        <v>329</v>
      </c>
      <c r="D130" s="227" t="str">
        <f>"M3＝"&amp;CEILING(G88,0.01)&amp;" kN*m"</f>
        <v>M3＝15.29 kN*m</v>
      </c>
    </row>
    <row r="132" spans="2:4" ht="14.25">
      <c r="B132" s="213" t="s">
        <v>337</v>
      </c>
      <c r="D132" s="213" t="str">
        <f>"As＝"&amp;CEILING(G88,0.01)&amp;"*"&amp;10^6&amp;"/("&amp;0.9&amp;"*"&amp;INDEX('混凝土强度和模量'!$B$20:$B$24,'混凝土强度和模量'!$I$20)&amp;"*"&amp;'X向计算'!$F$3-'总参数页'!$I$3-5&amp;")＝"&amp;INT(CEILING(G88,0.01)*10^6/(0.9*INDEX('混凝土强度和模量'!$B$20:$B$24,'混凝土强度和模量'!$I$20)*('X向计算'!$F$3-'总参数页'!$I$3-5)))&amp;" mm2"</f>
        <v>As＝15.29*1000000/(0.9*300*205)＝276 mm2</v>
      </c>
    </row>
    <row r="133" ht="14.25">
      <c r="H133" s="255">
        <f>INT(CEILING(G88,0.01)*10^6/(0.9*INDEX('混凝土强度和模量'!$B$20:$B$24,'混凝土强度和模量'!$I$20)*('X向计算'!$F$3-'总参数页'!$I$3-5)))</f>
        <v>276</v>
      </c>
    </row>
    <row r="134" spans="2:5" ht="14.25">
      <c r="B134" s="223" t="str">
        <f>"配"&amp;'选筋（X向）'!E16&amp;" (As＝"&amp;INT('选筋（X向）'!E17)&amp;"),   ρ＝"&amp;CEILING('选筋（X向）'!E19*100,0.001)&amp;"%"</f>
        <v>配φ12@160 (As＝706),   ρ＝0.283%</v>
      </c>
      <c r="C134" s="224"/>
      <c r="D134" s="224"/>
      <c r="E134" s="249">
        <f>IF('选筋（X向）'!E17&lt;H133,"不满足！","")</f>
      </c>
    </row>
    <row r="135" ht="14.25">
      <c r="B135" s="213"/>
    </row>
    <row r="136" ht="14.25">
      <c r="B136" s="215" t="s">
        <v>334</v>
      </c>
    </row>
    <row r="137" ht="14.25">
      <c r="B137" s="215"/>
    </row>
    <row r="139" ht="14.25">
      <c r="B139" s="213"/>
    </row>
    <row r="140" spans="2:4" ht="14.25">
      <c r="B140" s="213"/>
      <c r="D140" s="215" t="str">
        <f>"＝"&amp;CEILING('选筋（X向）'!K18,0.001)&amp;" mm"</f>
        <v>＝0.049 mm</v>
      </c>
    </row>
    <row r="141" ht="14.25">
      <c r="B141" s="213"/>
    </row>
    <row r="142" ht="14.25">
      <c r="B142" s="213"/>
    </row>
    <row r="143" ht="14.25">
      <c r="A143" s="214" t="s">
        <v>309</v>
      </c>
    </row>
    <row r="144" ht="14.25">
      <c r="B144" s="214"/>
    </row>
    <row r="145" ht="14.25">
      <c r="B145" s="215" t="str">
        <f>"取内跨计算，柱帽宽度取c="&amp;'总参数页'!$I$5/1000&amp;"m，板带宽取 B="&amp;'Y向计算'!$F$2&amp;"/2＝"&amp;'Y向计算'!$F$2/2&amp;"m，h0＝"&amp;'Y向计算'!$F$3&amp;"-"&amp;'总参数页'!$I$3+5&amp;"="&amp;'Y向计算'!$F$3-'总参数页'!$I$3-5&amp;"mm，"</f>
        <v>取内跨计算，柱帽宽度取c=0.8m，板带宽取 B=3/2＝1.5m，h0＝250-45=205mm，</v>
      </c>
    </row>
    <row r="146" ht="14.25">
      <c r="B146" s="215"/>
    </row>
    <row r="147" ht="14.25">
      <c r="B147" s="215"/>
    </row>
    <row r="148" ht="14.25">
      <c r="B148" s="222" t="s">
        <v>330</v>
      </c>
    </row>
    <row r="149" ht="18.75">
      <c r="C149" s="213" t="s">
        <v>338</v>
      </c>
    </row>
    <row r="150" ht="14.25">
      <c r="B150" s="213"/>
    </row>
    <row r="151" ht="14.25">
      <c r="C151" s="221" t="str">
        <f>"＝"&amp;CEILING('Y向计算'!M46,0.01)&amp;" kN*m"</f>
        <v>＝1140.22 kN*m</v>
      </c>
    </row>
    <row r="152" ht="14.25">
      <c r="B152" s="213" t="s">
        <v>299</v>
      </c>
    </row>
    <row r="153" ht="14.25">
      <c r="B153" s="213"/>
    </row>
    <row r="154" ht="14.25">
      <c r="B154" s="213" t="s">
        <v>331</v>
      </c>
    </row>
    <row r="155" ht="18.75">
      <c r="C155" s="213" t="s">
        <v>340</v>
      </c>
    </row>
    <row r="156" ht="14.25">
      <c r="B156" s="213"/>
    </row>
    <row r="157" spans="2:3" ht="14.25">
      <c r="B157" s="213" t="s">
        <v>300</v>
      </c>
      <c r="C157" s="221" t="str">
        <f>"＝"&amp;CEILING('Y向计算'!L46,0.01)&amp;" kN*m"</f>
        <v>＝1466.88 kN*m</v>
      </c>
    </row>
    <row r="158" ht="14.25">
      <c r="B158" s="213"/>
    </row>
    <row r="159" ht="14.25">
      <c r="B159" s="213"/>
    </row>
    <row r="160" spans="2:7" ht="14.25">
      <c r="B160" s="213"/>
      <c r="C160" s="356" t="s">
        <v>320</v>
      </c>
      <c r="D160" s="356"/>
      <c r="E160" s="356"/>
      <c r="F160" s="356"/>
      <c r="G160" s="356"/>
    </row>
    <row r="161" spans="3:7" ht="14.25">
      <c r="C161" s="358"/>
      <c r="D161" s="354" t="s">
        <v>302</v>
      </c>
      <c r="E161" s="355"/>
      <c r="F161" s="354" t="s">
        <v>303</v>
      </c>
      <c r="G161" s="355"/>
    </row>
    <row r="162" spans="3:7" ht="14.25">
      <c r="C162" s="358"/>
      <c r="D162" s="220" t="s">
        <v>304</v>
      </c>
      <c r="E162" s="220" t="s">
        <v>306</v>
      </c>
      <c r="F162" s="220" t="s">
        <v>304</v>
      </c>
      <c r="G162" s="220" t="s">
        <v>306</v>
      </c>
    </row>
    <row r="163" spans="3:7" ht="14.25">
      <c r="C163" s="358"/>
      <c r="D163" s="220" t="s">
        <v>305</v>
      </c>
      <c r="E163" s="220" t="s">
        <v>305</v>
      </c>
      <c r="F163" s="220" t="s">
        <v>305</v>
      </c>
      <c r="G163" s="220" t="s">
        <v>305</v>
      </c>
    </row>
    <row r="164" spans="3:7" ht="21.75" customHeight="1">
      <c r="C164" s="234" t="s">
        <v>307</v>
      </c>
      <c r="D164" s="220">
        <f>'Y向计算'!F53</f>
        <v>0.0791</v>
      </c>
      <c r="E164" s="220">
        <f>'Y向计算'!G53</f>
        <v>0.046900000000000004</v>
      </c>
      <c r="F164" s="220">
        <f>'Y向计算'!H53</f>
        <v>0.0791</v>
      </c>
      <c r="G164" s="220">
        <f>'Y向计算'!I53</f>
        <v>0.046900000000000004</v>
      </c>
    </row>
    <row r="165" spans="3:7" ht="20.25" customHeight="1">
      <c r="C165" s="234" t="s">
        <v>308</v>
      </c>
      <c r="D165" s="220">
        <f>'Y向计算'!F54</f>
        <v>0.75</v>
      </c>
      <c r="E165" s="220">
        <f>'Y向计算'!G54</f>
        <v>0.55</v>
      </c>
      <c r="F165" s="220">
        <f>'Y向计算'!H54</f>
        <v>0.25</v>
      </c>
      <c r="G165" s="220">
        <f>'Y向计算'!I54</f>
        <v>0.45</v>
      </c>
    </row>
    <row r="166" spans="3:7" ht="26.25">
      <c r="C166" s="234" t="s">
        <v>315</v>
      </c>
      <c r="D166" s="235">
        <f>'Y向计算'!F88</f>
        <v>90.19113833333334</v>
      </c>
      <c r="E166" s="235">
        <f>'Y向计算'!G88</f>
        <v>53.47616166666667</v>
      </c>
      <c r="F166" s="235">
        <f>'Y向计算'!H88</f>
        <v>90.19113833333334</v>
      </c>
      <c r="G166" s="235">
        <f>'Y向计算'!I88</f>
        <v>53.47616166666667</v>
      </c>
    </row>
    <row r="167" spans="3:7" ht="26.25">
      <c r="C167" s="234" t="s">
        <v>316</v>
      </c>
      <c r="D167" s="235">
        <f>'Y向计算'!F89</f>
        <v>67.64335375</v>
      </c>
      <c r="E167" s="235">
        <f>'Y向计算'!G89</f>
        <v>29.41188891666667</v>
      </c>
      <c r="F167" s="235">
        <f>'Y向计算'!H89</f>
        <v>22.547784583333335</v>
      </c>
      <c r="G167" s="235">
        <f>'Y向计算'!I89</f>
        <v>24.06427275</v>
      </c>
    </row>
    <row r="168" spans="3:7" ht="26.25">
      <c r="C168" s="234" t="s">
        <v>317</v>
      </c>
      <c r="D168" s="235">
        <f>'Y向计算'!F90</f>
        <v>45.09556916666667</v>
      </c>
      <c r="E168" s="235">
        <f>'Y向计算'!G90</f>
        <v>19.607925944444446</v>
      </c>
      <c r="F168" s="235">
        <f>'Y向计算'!H90</f>
        <v>15.03185638888889</v>
      </c>
      <c r="G168" s="235">
        <f>'Y向计算'!I90</f>
        <v>16.0428485</v>
      </c>
    </row>
    <row r="171" ht="14.25">
      <c r="B171" s="213"/>
    </row>
    <row r="172" spans="2:7" ht="14.25">
      <c r="B172" s="213"/>
      <c r="C172" s="356" t="s">
        <v>321</v>
      </c>
      <c r="D172" s="356"/>
      <c r="E172" s="356"/>
      <c r="F172" s="356"/>
      <c r="G172" s="356"/>
    </row>
    <row r="173" spans="3:7" ht="14.25">
      <c r="C173" s="358"/>
      <c r="D173" s="354" t="s">
        <v>302</v>
      </c>
      <c r="E173" s="355"/>
      <c r="F173" s="354" t="s">
        <v>303</v>
      </c>
      <c r="G173" s="355"/>
    </row>
    <row r="174" spans="3:7" ht="14.25">
      <c r="C174" s="358"/>
      <c r="D174" s="220" t="s">
        <v>304</v>
      </c>
      <c r="E174" s="220" t="s">
        <v>306</v>
      </c>
      <c r="F174" s="220" t="s">
        <v>304</v>
      </c>
      <c r="G174" s="220" t="s">
        <v>306</v>
      </c>
    </row>
    <row r="175" spans="3:7" ht="14.25">
      <c r="C175" s="358"/>
      <c r="D175" s="220" t="s">
        <v>305</v>
      </c>
      <c r="E175" s="220" t="s">
        <v>305</v>
      </c>
      <c r="F175" s="220" t="s">
        <v>305</v>
      </c>
      <c r="G175" s="220" t="s">
        <v>305</v>
      </c>
    </row>
    <row r="176" spans="3:7" ht="21.75" customHeight="1">
      <c r="C176" s="234" t="s">
        <v>307</v>
      </c>
      <c r="D176" s="220">
        <f>'Y向计算'!F53</f>
        <v>0.0791</v>
      </c>
      <c r="E176" s="220">
        <f>'Y向计算'!G53</f>
        <v>0.046900000000000004</v>
      </c>
      <c r="F176" s="220">
        <f>'Y向计算'!H53</f>
        <v>0.0791</v>
      </c>
      <c r="G176" s="220">
        <f>'Y向计算'!I53</f>
        <v>0.046900000000000004</v>
      </c>
    </row>
    <row r="177" spans="3:7" ht="20.25" customHeight="1">
      <c r="C177" s="234" t="s">
        <v>308</v>
      </c>
      <c r="D177" s="220">
        <f>'Y向计算'!F54</f>
        <v>0.75</v>
      </c>
      <c r="E177" s="220">
        <f>'Y向计算'!G54</f>
        <v>0.55</v>
      </c>
      <c r="F177" s="220">
        <f>'Y向计算'!H54</f>
        <v>0.25</v>
      </c>
      <c r="G177" s="220">
        <f>'Y向计算'!I54</f>
        <v>0.45</v>
      </c>
    </row>
    <row r="178" spans="3:7" ht="26.25">
      <c r="C178" s="234" t="s">
        <v>312</v>
      </c>
      <c r="D178" s="235">
        <f>'Y向计算'!F58</f>
        <v>116.02968066666668</v>
      </c>
      <c r="E178" s="235">
        <f>'Y向计算'!G58</f>
        <v>68.79635933333334</v>
      </c>
      <c r="F178" s="235">
        <f>'Y向计算'!H58</f>
        <v>116.02968066666668</v>
      </c>
      <c r="G178" s="235">
        <f>'Y向计算'!I58</f>
        <v>68.79635933333334</v>
      </c>
    </row>
    <row r="179" spans="3:7" ht="26.25">
      <c r="C179" s="234" t="s">
        <v>313</v>
      </c>
      <c r="D179" s="235">
        <f>'Y向计算'!F59</f>
        <v>87.02226050000002</v>
      </c>
      <c r="E179" s="235">
        <f>'Y向计算'!G59</f>
        <v>37.837997633333345</v>
      </c>
      <c r="F179" s="235">
        <f>'Y向计算'!H59</f>
        <v>29.00742016666667</v>
      </c>
      <c r="G179" s="235">
        <f>'Y向计算'!I59</f>
        <v>30.958361700000005</v>
      </c>
    </row>
    <row r="180" spans="3:7" ht="26.25">
      <c r="C180" s="234" t="s">
        <v>314</v>
      </c>
      <c r="D180" s="235">
        <f>CEILING('Y向计算'!F60,0.01)</f>
        <v>58.02</v>
      </c>
      <c r="E180" s="235">
        <f>CEILING('Y向计算'!G60,0.01)</f>
        <v>25.23</v>
      </c>
      <c r="F180" s="235">
        <f>CEILING('Y向计算'!H60,0.01)</f>
        <v>19.34</v>
      </c>
      <c r="G180" s="235">
        <f>CEILING('Y向计算'!I60,0.01)</f>
        <v>20.64</v>
      </c>
    </row>
    <row r="181" spans="3:7" ht="14.25">
      <c r="C181" s="236"/>
      <c r="D181" s="237"/>
      <c r="E181" s="252"/>
      <c r="F181" s="237"/>
      <c r="G181" s="237"/>
    </row>
    <row r="182" spans="3:7" ht="14.25">
      <c r="C182" s="236"/>
      <c r="D182" s="237"/>
      <c r="E182" s="252"/>
      <c r="F182" s="237"/>
      <c r="G182" s="237"/>
    </row>
    <row r="183" spans="3:7" ht="14.25">
      <c r="C183" s="236"/>
      <c r="D183" s="237"/>
      <c r="E183" s="252"/>
      <c r="F183" s="237"/>
      <c r="G183" s="237"/>
    </row>
    <row r="184" spans="2:4" ht="14.25">
      <c r="B184" s="215" t="s">
        <v>326</v>
      </c>
      <c r="D184" s="227" t="str">
        <f>"Mc＝"&amp;CEILING(D180,0.01)&amp;" kN*m"</f>
        <v>Mc＝58.02 kN*m</v>
      </c>
    </row>
    <row r="185" ht="17.25" customHeight="1"/>
    <row r="186" spans="2:4" ht="14.25">
      <c r="B186" s="213" t="s">
        <v>337</v>
      </c>
      <c r="D186" s="213" t="str">
        <f>"As＝"&amp;CEILING(D180,0.01)&amp;"*"&amp;10^6&amp;"/("&amp;0.9&amp;"*"&amp;INDEX('混凝土强度和模量'!$B$20:$B$24,'混凝土强度和模量'!$I$20)&amp;"*"&amp;'Y向计算'!$F$3-'总参数页'!$I$3-5&amp;")＝"&amp;INT(CEILING(D180,0.01)*10^6/(0.9*INDEX('混凝土强度和模量'!$B$20:$B$24,'混凝土强度和模量'!$I$20)*('Y向计算'!$F$3-'总参数页'!$I$3-5)))&amp;" mm2"</f>
        <v>As＝58.02*1000000/(0.9*300*205)＝1048 mm2</v>
      </c>
    </row>
    <row r="187" ht="14.25">
      <c r="H187" s="255">
        <f>INT(CEILING(D180,0.01)*10^6/(0.9*INDEX('混凝土强度和模量'!$B$20:$B$24,'混凝土强度和模量'!$I$20)*('Y向计算'!$F$3-'总参数页'!$I$3-5)))</f>
        <v>1048</v>
      </c>
    </row>
    <row r="188" spans="2:5" ht="14.25">
      <c r="B188" s="223" t="str">
        <f>"配"&amp;'选筋（Y向）'!B16&amp;" (As＝"&amp;INT('选筋（Y向）'!B17)&amp;"),   ρ＝"&amp;CEILING('选筋（Y向）'!B19*100,0.001)&amp;"%"</f>
        <v>配φ12@110 (As＝1028),   ρ＝0.412%</v>
      </c>
      <c r="C188" s="224"/>
      <c r="D188" s="224"/>
      <c r="E188" s="249" t="str">
        <f>IF('选筋（Y向）'!B17&lt;H187,"不满足！","")</f>
        <v>不满足！</v>
      </c>
    </row>
    <row r="189" ht="14.25">
      <c r="B189" s="213"/>
    </row>
    <row r="190" ht="14.25">
      <c r="B190" s="213" t="s">
        <v>333</v>
      </c>
    </row>
    <row r="191" ht="14.25">
      <c r="B191" s="215"/>
    </row>
    <row r="193" ht="14.25">
      <c r="B193" s="213"/>
    </row>
    <row r="194" spans="2:4" ht="14.25">
      <c r="B194" s="213"/>
      <c r="D194" s="215" t="str">
        <f>"＝"&amp;CEILING('选筋（Y向）'!H18,0.001)&amp;" mm"</f>
        <v>＝0.229 mm</v>
      </c>
    </row>
    <row r="195" spans="2:3" ht="14.25">
      <c r="B195" s="213"/>
      <c r="C195" s="215"/>
    </row>
    <row r="196" spans="2:4" ht="14.25">
      <c r="B196" s="215" t="s">
        <v>327</v>
      </c>
      <c r="D196" s="227" t="str">
        <f>"M3＝"&amp;CEILING(E180,0.01)&amp;" kN*m"</f>
        <v>M3＝25.23 kN*m</v>
      </c>
    </row>
    <row r="198" spans="2:4" ht="14.25">
      <c r="B198" s="213" t="s">
        <v>337</v>
      </c>
      <c r="D198" s="213" t="str">
        <f>"As＝"&amp;CEILING(E180,0.01)&amp;"*"&amp;10^6&amp;"/("&amp;0.9&amp;"*"&amp;INDEX('混凝土强度和模量'!$B$20:$B$24,'混凝土强度和模量'!$I$20)&amp;"*"&amp;'Y向计算'!$F$3-'总参数页'!$I$3-5&amp;")＝"&amp;INT(CEILING(E180,0.01)*10^6/(0.9*INDEX('混凝土强度和模量'!$B$20:$B$24,'混凝土强度和模量'!$I$20)*('Y向计算'!$F$3-'总参数页'!$I$3-5)))&amp;" mm2"</f>
        <v>As＝25.23*1000000/(0.9*300*205)＝455 mm2</v>
      </c>
    </row>
    <row r="199" ht="14.25">
      <c r="H199" s="255">
        <f>INT(CEILING(E180,0.01)*10^6/(0.9*INDEX('混凝土强度和模量'!$B$20:$B$24,'混凝土强度和模量'!$I$20)*('Y向计算'!$F$3-'总参数页'!$I$3-5)))</f>
        <v>455</v>
      </c>
    </row>
    <row r="200" spans="2:5" ht="14.25">
      <c r="B200" s="223" t="str">
        <f>"配"&amp;'选筋（Y向）'!C16&amp;" (As＝"&amp;INT('选筋（Y向）'!C17)&amp;"),   ρ＝"&amp;CEILING('选筋（Y向）'!C19*100,0.001)&amp;"%"</f>
        <v>配φ12@130 (As＝869),   ρ＝0.348%</v>
      </c>
      <c r="C200" s="224"/>
      <c r="D200" s="224"/>
      <c r="E200" s="249">
        <f>IF('选筋（Y向）'!C17&lt;H199,"不满足！","")</f>
      </c>
    </row>
    <row r="201" ht="14.25">
      <c r="B201" s="213"/>
    </row>
    <row r="202" ht="14.25">
      <c r="B202" s="213" t="s">
        <v>333</v>
      </c>
    </row>
    <row r="203" ht="14.25">
      <c r="B203" s="215"/>
    </row>
    <row r="205" ht="14.25">
      <c r="B205" s="213"/>
    </row>
    <row r="206" spans="2:4" ht="14.25">
      <c r="B206" s="213"/>
      <c r="D206" s="215" t="str">
        <f>"＝"&amp;CEILING('选筋（Y向）'!I18,0.001)&amp;" mm"</f>
        <v>＝0.058 mm</v>
      </c>
    </row>
    <row r="207" ht="14.25">
      <c r="B207" s="213"/>
    </row>
    <row r="208" spans="2:4" ht="14.25">
      <c r="B208" s="215" t="s">
        <v>328</v>
      </c>
      <c r="D208" s="227" t="str">
        <f>"Mc＝"&amp;CEILING(F180,0.01)&amp;" kN*m"</f>
        <v>Mc＝19.34 kN*m</v>
      </c>
    </row>
    <row r="209" ht="17.25" customHeight="1"/>
    <row r="210" spans="2:4" ht="14.25">
      <c r="B210" s="213" t="s">
        <v>332</v>
      </c>
      <c r="D210" s="213" t="str">
        <f>"As＝"&amp;CEILING(F180,0.01)&amp;"*"&amp;10^6&amp;"/("&amp;0.9&amp;"*"&amp;INDEX('混凝土强度和模量'!$B$20:$B$24,'混凝土强度和模量'!$I$20)&amp;"*"&amp;'Y向计算'!$F$3-'总参数页'!$I$3-5&amp;")＝"&amp;INT(CEILING(F180,0.01)*10^6/(0.9*INDEX('混凝土强度和模量'!$B$20:$B$24,'混凝土强度和模量'!$I$20)*('Y向计算'!$F$3-'总参数页'!$I$3-5)))&amp;" mm2"</f>
        <v>As＝19.34*1000000/(0.9*300*205)＝349 mm2</v>
      </c>
    </row>
    <row r="211" ht="14.25">
      <c r="H211" s="255">
        <f>INT(CEILING(F180,0.01)*10^6/(0.9*INDEX('混凝土强度和模量'!$B$20:$B$24,'混凝土强度和模量'!$I$20)*('Y向计算'!$F$3-'总参数页'!$I$3-5)))</f>
        <v>349</v>
      </c>
    </row>
    <row r="212" spans="2:8" ht="14.25">
      <c r="B212" s="223" t="str">
        <f>"配"&amp;'选筋（Y向）'!D16&amp;" (As＝"&amp;INT('选筋（Y向）'!D17)&amp;"),   ρ＝"&amp;CEILING('选筋（Y向）'!D19*100,0.001)&amp;"%"</f>
        <v>配φ12@200 (As＝565),   ρ＝0.227%</v>
      </c>
      <c r="C212" s="224"/>
      <c r="D212" s="224"/>
      <c r="E212" s="249">
        <f>IF('选筋（Y向）'!D17&lt;H211,"不满足！","")</f>
      </c>
      <c r="H212" s="255"/>
    </row>
    <row r="213" ht="14.25">
      <c r="B213" s="213"/>
    </row>
    <row r="214" ht="14.25">
      <c r="B214" s="213" t="s">
        <v>333</v>
      </c>
    </row>
    <row r="215" ht="14.25">
      <c r="B215" s="215"/>
    </row>
    <row r="217" ht="14.25">
      <c r="B217" s="213"/>
    </row>
    <row r="218" spans="2:4" ht="14.25">
      <c r="B218" s="213"/>
      <c r="D218" s="215" t="str">
        <f>"＝"&amp;CEILING('选筋（Y向）'!J18,0.001)&amp;" mm"</f>
        <v>＝0.091 mm</v>
      </c>
    </row>
    <row r="219" spans="2:3" ht="14.25">
      <c r="B219" s="213"/>
      <c r="C219" s="215"/>
    </row>
    <row r="220" spans="2:4" ht="14.25">
      <c r="B220" s="215" t="s">
        <v>329</v>
      </c>
      <c r="D220" s="227" t="str">
        <f>"M3＝"&amp;CEILING(G180,0.01)&amp;" kN*m"</f>
        <v>M3＝20.64 kN*m</v>
      </c>
    </row>
    <row r="222" spans="2:4" ht="14.25">
      <c r="B222" s="213" t="s">
        <v>332</v>
      </c>
      <c r="D222" s="213" t="str">
        <f>"As＝"&amp;CEILING(G180,0.01)&amp;"*"&amp;10^6&amp;"/("&amp;0.9&amp;"*"&amp;INDEX('混凝土强度和模量'!$B$20:$B$24,'混凝土强度和模量'!$I$20)&amp;"*"&amp;'Y向计算'!$F$3-'总参数页'!$I$3-5&amp;")＝"&amp;INT(CEILING(G180,0.01)*10^6/(0.9*INDEX('混凝土强度和模量'!$B$20:$B$24,'混凝土强度和模量'!$I$20)*('Y向计算'!$F$3-'总参数页'!$I$3-5)))&amp;" mm2"</f>
        <v>As＝20.64*1000000/(0.9*300*205)＝372 mm2</v>
      </c>
    </row>
    <row r="223" ht="14.25">
      <c r="H223" s="255">
        <f>INT(CEILING(G180,0.01)*10^6/(0.9*INDEX('混凝土强度和模量'!$B$20:$B$24,'混凝土强度和模量'!$I$20)*('Y向计算'!$F$3-'总参数页'!$I$3-5)))</f>
        <v>372</v>
      </c>
    </row>
    <row r="224" spans="2:5" ht="14.25">
      <c r="B224" s="223" t="str">
        <f>"配"&amp;'选筋（Y向）'!E16&amp;" (As＝"&amp;INT('选筋（Y向）'!E17)&amp;"),   ρ＝"&amp;CEILING('选筋（Y向）'!E19*100,0.001)&amp;"%"</f>
        <v>配φ12@160 (As＝706),   ρ＝0.283%</v>
      </c>
      <c r="C224" s="224"/>
      <c r="D224" s="224"/>
      <c r="E224" s="249">
        <f>IF('选筋（Y向）'!E17&lt;H223,"不满足！","")</f>
      </c>
    </row>
    <row r="225" ht="14.25">
      <c r="B225" s="213"/>
    </row>
    <row r="226" ht="14.25">
      <c r="B226" s="213" t="s">
        <v>333</v>
      </c>
    </row>
    <row r="227" ht="14.25">
      <c r="B227" s="215"/>
    </row>
    <row r="229" ht="14.25">
      <c r="B229" s="213"/>
    </row>
    <row r="230" spans="2:4" ht="14.25">
      <c r="B230" s="213"/>
      <c r="D230" s="215" t="str">
        <f>"＝"&amp;CEILING('选筋（Y向）'!K18,0.001)&amp;" mm"</f>
        <v>＝0.066 mm</v>
      </c>
    </row>
  </sheetData>
  <sheetProtection sheet="1" objects="1" scenarios="1"/>
  <mergeCells count="21">
    <mergeCell ref="F67:G67"/>
    <mergeCell ref="E44:H44"/>
    <mergeCell ref="B3:H3"/>
    <mergeCell ref="C172:G172"/>
    <mergeCell ref="C80:G80"/>
    <mergeCell ref="B2:H2"/>
    <mergeCell ref="C67:C69"/>
    <mergeCell ref="B43:H43"/>
    <mergeCell ref="C66:G66"/>
    <mergeCell ref="B44:D44"/>
    <mergeCell ref="D67:E67"/>
    <mergeCell ref="C173:C175"/>
    <mergeCell ref="C161:C163"/>
    <mergeCell ref="C81:C83"/>
    <mergeCell ref="C160:G160"/>
    <mergeCell ref="D173:E173"/>
    <mergeCell ref="F173:G173"/>
    <mergeCell ref="D161:E161"/>
    <mergeCell ref="F161:G161"/>
    <mergeCell ref="D81:E81"/>
    <mergeCell ref="F81:G81"/>
  </mergeCells>
  <printOptions/>
  <pageMargins left="0.75" right="0.75" top="1" bottom="1" header="0.5" footer="0.5"/>
  <pageSetup horizontalDpi="600" verticalDpi="600" orientation="portrait" paperSize="9" scale="92" r:id="rId18"/>
  <rowBreaks count="3" manualBreakCount="3">
    <brk id="92" max="8" man="1"/>
    <brk id="141" max="8" man="1"/>
    <brk id="182" max="8" man="1"/>
  </rowBreaks>
  <drawing r:id="rId17"/>
  <legacyDrawing r:id="rId16"/>
  <oleObjects>
    <oleObject progId="Equation.3" shapeId="2736521" r:id="rId1"/>
    <oleObject progId="Equation.3" shapeId="2736523" r:id="rId2"/>
    <oleObject progId="Equation.3" shapeId="2736524" r:id="rId3"/>
    <oleObject progId="Equation.3" shapeId="2736525" r:id="rId4"/>
    <oleObject progId="Equation.3" shapeId="2736526" r:id="rId5"/>
    <oleObject progId="Equation.3" shapeId="2736527" r:id="rId6"/>
    <oleObject progId="Equation.3" shapeId="2736528" r:id="rId7"/>
    <oleObject progId="Equation.3" shapeId="2829883" r:id="rId8"/>
    <oleObject progId="Equation.3" shapeId="771201" r:id="rId9"/>
    <oleObject progId="Equation.3" shapeId="771309" r:id="rId10"/>
    <oleObject progId="Equation.3" shapeId="771456" r:id="rId11"/>
    <oleObject progId="Equation.3" shapeId="771712" r:id="rId12"/>
    <oleObject progId="Equation.3" shapeId="771791" r:id="rId13"/>
    <oleObject progId="Equation.3" shapeId="771897" r:id="rId14"/>
    <oleObject progId="Equation.3" shapeId="772000" r:id="rId1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  <pageSetUpPr fitToPage="1"/>
  </sheetPr>
  <dimension ref="A1:O113"/>
  <sheetViews>
    <sheetView view="pageBreakPreview" zoomScaleNormal="90" zoomScaleSheetLayoutView="100" zoomScalePageLayoutView="0" workbookViewId="0" topLeftCell="A7">
      <selection activeCell="A7" sqref="A7:IV7"/>
    </sheetView>
  </sheetViews>
  <sheetFormatPr defaultColWidth="9.00390625" defaultRowHeight="14.25"/>
  <cols>
    <col min="1" max="1" width="21.375" style="0" customWidth="1"/>
    <col min="2" max="2" width="10.50390625" style="0" customWidth="1"/>
    <col min="3" max="4" width="9.875" style="0" customWidth="1"/>
    <col min="5" max="5" width="11.125" style="0" customWidth="1"/>
    <col min="6" max="6" width="11.00390625" style="0" customWidth="1"/>
    <col min="7" max="7" width="11.125" style="0" customWidth="1"/>
    <col min="8" max="8" width="10.875" style="0" customWidth="1"/>
    <col min="9" max="9" width="9.25390625" style="0" bestFit="1" customWidth="1"/>
    <col min="10" max="10" width="10.875" style="0" customWidth="1"/>
    <col min="11" max="11" width="10.375" style="0" bestFit="1" customWidth="1"/>
    <col min="12" max="12" width="6.375" style="0" customWidth="1"/>
    <col min="13" max="13" width="10.75390625" style="0" customWidth="1"/>
    <col min="14" max="14" width="6.00390625" style="0" customWidth="1"/>
  </cols>
  <sheetData>
    <row r="1" spans="1:4" ht="19.5" customHeight="1">
      <c r="A1" t="s">
        <v>239</v>
      </c>
      <c r="B1" s="309" t="s">
        <v>409</v>
      </c>
      <c r="C1" s="309"/>
      <c r="D1" s="238"/>
    </row>
    <row r="2" spans="1:15" ht="22.5" customHeight="1" thickBot="1">
      <c r="A2" s="175" t="s">
        <v>277</v>
      </c>
      <c r="B2" s="310" t="s">
        <v>225</v>
      </c>
      <c r="C2" s="310"/>
      <c r="D2" s="174">
        <f>F6</f>
        <v>40</v>
      </c>
      <c r="E2" s="98" t="s">
        <v>39</v>
      </c>
      <c r="F2" s="239" t="s">
        <v>1</v>
      </c>
      <c r="G2" s="174">
        <f>F5</f>
        <v>250</v>
      </c>
      <c r="H2" s="98" t="s">
        <v>0</v>
      </c>
      <c r="I2" s="97"/>
      <c r="J2" s="97"/>
      <c r="K2" s="97"/>
      <c r="L2" s="97"/>
      <c r="M2" s="97"/>
      <c r="N2" s="97"/>
      <c r="O2" s="97"/>
    </row>
    <row r="3" spans="1:10" ht="15.75" customHeight="1">
      <c r="A3" s="1" t="s">
        <v>33</v>
      </c>
      <c r="B3" s="1"/>
      <c r="C3" s="8"/>
      <c r="D3" s="8"/>
      <c r="E3" s="1" t="s">
        <v>251</v>
      </c>
      <c r="F3" s="272">
        <v>3</v>
      </c>
      <c r="G3" s="1" t="s">
        <v>36</v>
      </c>
      <c r="H3" s="1" t="s">
        <v>61</v>
      </c>
      <c r="I3" s="273">
        <v>40</v>
      </c>
      <c r="J3" s="1" t="s">
        <v>0</v>
      </c>
    </row>
    <row r="4" spans="1:10" ht="15.75" customHeight="1">
      <c r="A4" s="1" t="s">
        <v>34</v>
      </c>
      <c r="B4" s="1"/>
      <c r="C4" s="8"/>
      <c r="D4" s="8"/>
      <c r="E4" s="1" t="s">
        <v>265</v>
      </c>
      <c r="F4" s="272">
        <v>3.4</v>
      </c>
      <c r="G4" s="1" t="s">
        <v>36</v>
      </c>
      <c r="H4" s="1" t="s">
        <v>63</v>
      </c>
      <c r="I4" s="273">
        <v>12</v>
      </c>
      <c r="J4" s="1" t="s">
        <v>0</v>
      </c>
    </row>
    <row r="5" spans="1:10" ht="15.75" customHeight="1">
      <c r="A5" s="1" t="s">
        <v>113</v>
      </c>
      <c r="C5" s="173"/>
      <c r="D5" s="173"/>
      <c r="E5" s="1" t="s">
        <v>1</v>
      </c>
      <c r="F5" s="273">
        <v>250</v>
      </c>
      <c r="G5" s="1" t="s">
        <v>0</v>
      </c>
      <c r="H5" s="1" t="s">
        <v>149</v>
      </c>
      <c r="I5" s="273">
        <v>800</v>
      </c>
      <c r="J5" s="1" t="s">
        <v>0</v>
      </c>
    </row>
    <row r="6" spans="1:11" ht="16.5" customHeight="1">
      <c r="A6" s="1" t="s">
        <v>276</v>
      </c>
      <c r="C6" s="173"/>
      <c r="D6" s="173"/>
      <c r="E6" s="1" t="s">
        <v>38</v>
      </c>
      <c r="F6" s="273">
        <v>40</v>
      </c>
      <c r="G6" s="1" t="s">
        <v>39</v>
      </c>
      <c r="H6" s="1" t="s">
        <v>37</v>
      </c>
      <c r="I6" s="126">
        <v>1.2</v>
      </c>
      <c r="J6" s="2" t="s">
        <v>170</v>
      </c>
      <c r="K6" s="126">
        <v>0.7</v>
      </c>
    </row>
    <row r="7" spans="1:13" ht="14.25">
      <c r="A7" s="1" t="s">
        <v>79</v>
      </c>
      <c r="B7" s="274">
        <v>0.3</v>
      </c>
      <c r="C7" s="8" t="s">
        <v>131</v>
      </c>
      <c r="E7" s="1" t="s">
        <v>371</v>
      </c>
      <c r="F7" s="273">
        <v>0</v>
      </c>
      <c r="G7" s="1" t="s">
        <v>39</v>
      </c>
      <c r="H7" s="1" t="s">
        <v>40</v>
      </c>
      <c r="I7" s="126">
        <f>IF(F6&gt;4,1.3,1.4)</f>
        <v>1.3</v>
      </c>
      <c r="J7" s="1" t="s">
        <v>171</v>
      </c>
      <c r="K7" s="126">
        <v>0.6</v>
      </c>
      <c r="L7" s="1"/>
      <c r="M7" s="1"/>
    </row>
    <row r="8" spans="7:15" ht="18.75" customHeight="1">
      <c r="G8" s="1" t="s">
        <v>55</v>
      </c>
      <c r="H8" s="1"/>
      <c r="I8" s="126">
        <v>1</v>
      </c>
      <c r="J8" s="1" t="s">
        <v>217</v>
      </c>
      <c r="K8" s="126">
        <v>600</v>
      </c>
      <c r="M8" s="1" t="s">
        <v>218</v>
      </c>
      <c r="N8" s="2">
        <f>(K8-F5)*I5^2*25/1000000000</f>
        <v>5.6</v>
      </c>
      <c r="O8" s="1" t="s">
        <v>248</v>
      </c>
    </row>
    <row r="9" spans="2:15" ht="16.5" customHeight="1">
      <c r="B9" s="1"/>
      <c r="J9" s="1" t="s">
        <v>376</v>
      </c>
      <c r="K9" s="126">
        <f>(L20+1)*(N9+1)*K10/(C10*F3*F10*F4)</f>
        <v>259.9264705882353</v>
      </c>
      <c r="L9" s="1" t="s">
        <v>377</v>
      </c>
      <c r="M9" s="1" t="s">
        <v>220</v>
      </c>
      <c r="N9" s="126">
        <v>20</v>
      </c>
      <c r="O9" s="1" t="s">
        <v>221</v>
      </c>
    </row>
    <row r="10" spans="1:13" ht="16.5" customHeight="1">
      <c r="A10" t="s">
        <v>235</v>
      </c>
      <c r="B10" s="1" t="s">
        <v>236</v>
      </c>
      <c r="C10" s="126">
        <v>10</v>
      </c>
      <c r="D10" s="1" t="s">
        <v>250</v>
      </c>
      <c r="E10" s="1" t="s">
        <v>238</v>
      </c>
      <c r="F10" s="126">
        <v>10</v>
      </c>
      <c r="G10" s="1" t="s">
        <v>237</v>
      </c>
      <c r="H10" s="1"/>
      <c r="I10" s="1"/>
      <c r="J10" s="10" t="s">
        <v>222</v>
      </c>
      <c r="K10" s="126">
        <v>125</v>
      </c>
      <c r="L10" s="1" t="s">
        <v>223</v>
      </c>
      <c r="M10" s="1"/>
    </row>
    <row r="11" spans="2:13" ht="16.5" customHeight="1">
      <c r="B11" s="1" t="s">
        <v>254</v>
      </c>
      <c r="C11" s="114">
        <f>C10*F3</f>
        <v>30</v>
      </c>
      <c r="D11" s="8" t="s">
        <v>252</v>
      </c>
      <c r="E11" s="114" t="s">
        <v>253</v>
      </c>
      <c r="F11" s="2">
        <f>F4*F10</f>
        <v>34</v>
      </c>
      <c r="G11" s="1" t="s">
        <v>252</v>
      </c>
      <c r="I11" s="1"/>
      <c r="J11" s="10" t="s">
        <v>68</v>
      </c>
      <c r="K11" s="126">
        <v>4.6</v>
      </c>
      <c r="L11" s="1" t="s">
        <v>69</v>
      </c>
      <c r="M11" s="1"/>
    </row>
    <row r="12" spans="2:13" ht="16.5" customHeight="1" thickBot="1">
      <c r="B12" s="1"/>
      <c r="C12" s="114"/>
      <c r="E12" s="1"/>
      <c r="F12" s="114"/>
      <c r="G12" s="1"/>
      <c r="H12" s="1"/>
      <c r="I12" s="1"/>
      <c r="J12" s="10" t="s">
        <v>70</v>
      </c>
      <c r="K12" s="126">
        <v>385</v>
      </c>
      <c r="L12" s="1" t="s">
        <v>95</v>
      </c>
      <c r="M12" s="1"/>
    </row>
    <row r="13" spans="1:13" ht="16.5">
      <c r="A13" s="293" t="s">
        <v>256</v>
      </c>
      <c r="B13" s="294"/>
      <c r="C13" s="294"/>
      <c r="D13" s="294"/>
      <c r="E13" s="294"/>
      <c r="F13" s="294"/>
      <c r="G13" s="295"/>
      <c r="H13" s="144"/>
      <c r="M13" s="1"/>
    </row>
    <row r="14" spans="1:13" ht="14.25">
      <c r="A14" s="104"/>
      <c r="B14" s="92" t="s">
        <v>132</v>
      </c>
      <c r="C14" s="92" t="s">
        <v>224</v>
      </c>
      <c r="D14" s="92" t="s">
        <v>2</v>
      </c>
      <c r="E14" s="92" t="s">
        <v>224</v>
      </c>
      <c r="F14" s="91" t="s">
        <v>255</v>
      </c>
      <c r="G14" s="112" t="s">
        <v>224</v>
      </c>
      <c r="H14" s="1"/>
      <c r="I14" s="1"/>
      <c r="J14" s="1"/>
      <c r="K14" s="1"/>
      <c r="M14" s="1"/>
    </row>
    <row r="15" spans="1:15" ht="14.25">
      <c r="A15" s="104" t="s">
        <v>168</v>
      </c>
      <c r="B15" s="92">
        <f>K11</f>
        <v>4.6</v>
      </c>
      <c r="C15" s="93"/>
      <c r="D15" s="94">
        <f>K11</f>
        <v>4.6</v>
      </c>
      <c r="E15" s="101"/>
      <c r="F15" s="93"/>
      <c r="G15" s="105"/>
      <c r="H15" s="1"/>
      <c r="I15" s="1"/>
      <c r="J15" s="1"/>
      <c r="K15" s="1"/>
      <c r="M15" s="1"/>
      <c r="O15">
        <v>0.1</v>
      </c>
    </row>
    <row r="16" spans="1:15" ht="14.25">
      <c r="A16" s="104" t="s">
        <v>167</v>
      </c>
      <c r="B16" s="92">
        <f>K12</f>
        <v>385</v>
      </c>
      <c r="C16" s="93"/>
      <c r="D16" s="94">
        <f>K12</f>
        <v>385</v>
      </c>
      <c r="E16" s="101"/>
      <c r="F16" s="93"/>
      <c r="G16" s="105"/>
      <c r="H16" s="1"/>
      <c r="I16" s="1"/>
      <c r="J16" s="1"/>
      <c r="K16" s="1"/>
      <c r="M16" s="1"/>
      <c r="O16">
        <v>0.2</v>
      </c>
    </row>
    <row r="17" spans="1:15" ht="14.25">
      <c r="A17" s="106" t="s">
        <v>87</v>
      </c>
      <c r="B17" s="95">
        <f>B48+B84</f>
        <v>26.14689199668272</v>
      </c>
      <c r="C17" s="95"/>
      <c r="D17" s="96">
        <f>(F48+F84)*1.1</f>
        <v>21.35439910494106</v>
      </c>
      <c r="E17" s="92"/>
      <c r="F17" s="95">
        <f>(($C$10*2+($F$10-2)*2)*B17+($C$10-2)*($F$10-2)*D17)/($C$10*$F$10)</f>
        <v>23.079696545968055</v>
      </c>
      <c r="G17" s="113"/>
      <c r="H17" s="1"/>
      <c r="I17" s="1"/>
      <c r="J17" s="1"/>
      <c r="K17" s="1"/>
      <c r="M17" s="1"/>
      <c r="O17">
        <v>0.3</v>
      </c>
    </row>
    <row r="18" spans="1:13" ht="14.25">
      <c r="A18" s="106" t="s">
        <v>159</v>
      </c>
      <c r="B18" s="95">
        <f>F5/1000</f>
        <v>0.25</v>
      </c>
      <c r="C18" s="95"/>
      <c r="D18" s="96">
        <f>F5/1000</f>
        <v>0.25</v>
      </c>
      <c r="E18" s="92"/>
      <c r="F18" s="95"/>
      <c r="G18" s="113"/>
      <c r="H18" s="1"/>
      <c r="I18" s="1"/>
      <c r="J18" s="1"/>
      <c r="K18" s="1"/>
      <c r="M18" s="1"/>
    </row>
    <row r="19" spans="1:13" ht="14.25">
      <c r="A19" s="106" t="s">
        <v>234</v>
      </c>
      <c r="B19" s="95">
        <f>B17/B18</f>
        <v>104.58756798673087</v>
      </c>
      <c r="C19" s="95"/>
      <c r="D19" s="95">
        <f>D17/D18</f>
        <v>85.41759641976424</v>
      </c>
      <c r="E19" s="92"/>
      <c r="F19" s="95">
        <f>(($C$10*2+($F$10-2)*2)*B19+($C$10-2)*($F$10-2)*D19)/($C$10*$F$10)</f>
        <v>92.31878618387222</v>
      </c>
      <c r="G19" s="116"/>
      <c r="H19" s="1"/>
      <c r="I19" s="1"/>
      <c r="J19" s="1"/>
      <c r="K19" s="1"/>
      <c r="M19" s="1"/>
    </row>
    <row r="20" spans="1:12" ht="14.25">
      <c r="A20" s="106" t="s">
        <v>88</v>
      </c>
      <c r="B20" s="259">
        <f>B17*K11+B18*K12</f>
        <v>216.5257031847405</v>
      </c>
      <c r="C20" s="103">
        <f>B20+K9</f>
        <v>476.4521737729758</v>
      </c>
      <c r="D20" s="260">
        <f>D17*K11+D18*K12</f>
        <v>194.48023588272886</v>
      </c>
      <c r="E20" s="95">
        <f>D20+K9</f>
        <v>454.4067064709642</v>
      </c>
      <c r="F20" s="115">
        <f>(($C$10*2+($F$10-2)*2)*B20+($C$10-2)*($F$10-2)*D20)/($C$10*$F$10)</f>
        <v>202.41660411145304</v>
      </c>
      <c r="G20" s="113">
        <f>(($C$10*2+($F$10-2)*2)*C20+($C$10-2)*($F$10-2)*E20)/($C$10*$F$10)</f>
        <v>462.3430746996884</v>
      </c>
      <c r="H20" s="1"/>
      <c r="I20" s="1"/>
      <c r="J20" s="1"/>
      <c r="K20" s="1"/>
      <c r="L20">
        <f>C10*F10</f>
        <v>100</v>
      </c>
    </row>
    <row r="21" spans="1:13" ht="14.25">
      <c r="A21" s="104" t="s">
        <v>161</v>
      </c>
      <c r="B21" s="93"/>
      <c r="C21" s="93"/>
      <c r="D21" s="96">
        <f>I67+I103</f>
        <v>157.34702488742897</v>
      </c>
      <c r="E21" s="101"/>
      <c r="F21" s="102"/>
      <c r="G21" s="117"/>
      <c r="H21" s="1"/>
      <c r="I21" s="1"/>
      <c r="J21" s="1"/>
      <c r="K21" s="1"/>
      <c r="M21" s="1"/>
    </row>
    <row r="22" spans="1:13" ht="14.25">
      <c r="A22" s="106" t="s">
        <v>249</v>
      </c>
      <c r="B22" s="93"/>
      <c r="C22" s="93"/>
      <c r="D22" s="96">
        <f>D21/F3/F4</f>
        <v>15.426178910532252</v>
      </c>
      <c r="E22" s="101"/>
      <c r="F22" s="93"/>
      <c r="G22" s="105"/>
      <c r="I22" s="1"/>
      <c r="J22" s="1"/>
      <c r="K22" s="1"/>
      <c r="L22" s="3">
        <f>D22-D17</f>
        <v>-5.928220194408807</v>
      </c>
      <c r="M22" s="1"/>
    </row>
    <row r="23" spans="1:13" ht="14.25">
      <c r="A23" s="106" t="s">
        <v>234</v>
      </c>
      <c r="B23" s="95"/>
      <c r="C23" s="95"/>
      <c r="D23" s="95">
        <f>D22/D18</f>
        <v>61.70471564212901</v>
      </c>
      <c r="E23" s="92"/>
      <c r="F23" s="95"/>
      <c r="G23" s="105"/>
      <c r="I23" s="1"/>
      <c r="J23" s="1"/>
      <c r="K23" s="1"/>
      <c r="L23" s="3"/>
      <c r="M23" s="1"/>
    </row>
    <row r="24" spans="1:13" ht="14.25">
      <c r="A24" s="106" t="s">
        <v>219</v>
      </c>
      <c r="B24" s="93"/>
      <c r="C24" s="93"/>
      <c r="D24" s="260">
        <f>D22*D15+F5/1000*D16</f>
        <v>167.21042298844836</v>
      </c>
      <c r="E24" s="95">
        <f>D24+K9</f>
        <v>427.13689357668363</v>
      </c>
      <c r="F24" s="93"/>
      <c r="G24" s="105"/>
      <c r="H24" s="1"/>
      <c r="I24" s="1"/>
      <c r="J24" s="1"/>
      <c r="K24" s="1"/>
      <c r="M24" s="1"/>
    </row>
    <row r="25" spans="1:13" ht="15" thickBot="1">
      <c r="A25" s="107" t="s">
        <v>163</v>
      </c>
      <c r="B25" s="108"/>
      <c r="C25" s="108"/>
      <c r="D25" s="109">
        <f>(F5*25/1000+F6)*F3*F4+(I5/1000)^2*0.6*25+N8</f>
        <v>486.95000000000005</v>
      </c>
      <c r="E25" s="110"/>
      <c r="F25" s="108"/>
      <c r="G25" s="111"/>
      <c r="H25" s="1"/>
      <c r="I25" s="1"/>
      <c r="J25" s="1"/>
      <c r="K25" s="1"/>
      <c r="M25" s="1"/>
    </row>
    <row r="26" spans="7:13" ht="14.25">
      <c r="G26" s="1"/>
      <c r="H26" s="1"/>
      <c r="I26" s="1"/>
      <c r="J26" s="1"/>
      <c r="K26" s="1"/>
      <c r="M26" s="1"/>
    </row>
    <row r="27" spans="2:14" ht="14.25">
      <c r="B27" s="2" t="s">
        <v>199</v>
      </c>
      <c r="C27" s="2" t="s">
        <v>198</v>
      </c>
      <c r="F27" s="2" t="s">
        <v>199</v>
      </c>
      <c r="G27" s="2" t="s">
        <v>198</v>
      </c>
      <c r="H27" s="1"/>
      <c r="I27" s="1"/>
      <c r="J27" s="1"/>
      <c r="K27" s="63">
        <f>INT('X向计算'!G145)</f>
        <v>752</v>
      </c>
      <c r="L27">
        <f>INT('Y向计算'!G145)</f>
        <v>718</v>
      </c>
      <c r="M27" s="63">
        <f>INT('X向计算'!I145)</f>
        <v>5949</v>
      </c>
      <c r="N27">
        <f>INT('Y向计算'!I145)</f>
        <v>3795</v>
      </c>
    </row>
    <row r="28" spans="1:13" ht="14.25">
      <c r="A28" s="58" t="s">
        <v>259</v>
      </c>
      <c r="B28" s="100">
        <f>'X向计算'!G144</f>
        <v>3.98863141849507</v>
      </c>
      <c r="C28" s="100">
        <f>'Y向计算'!G144</f>
        <v>4.7302895321325735</v>
      </c>
      <c r="E28" s="58" t="s">
        <v>257</v>
      </c>
      <c r="F28" s="100">
        <f>'X向计算'!I144</f>
        <v>0.5042717735906932</v>
      </c>
      <c r="G28" s="100">
        <f>'Y向计算'!I144</f>
        <v>0.8957843100186877</v>
      </c>
      <c r="H28" s="1"/>
      <c r="I28" s="1"/>
      <c r="J28" s="1"/>
      <c r="K28" s="63"/>
      <c r="M28" s="1"/>
    </row>
    <row r="29" spans="1:13" ht="14.25">
      <c r="A29" s="58" t="s">
        <v>260</v>
      </c>
      <c r="B29" s="58" t="str">
        <f>"1/"&amp;K27</f>
        <v>1/752</v>
      </c>
      <c r="C29" s="58" t="str">
        <f>"1/"&amp;L27</f>
        <v>1/718</v>
      </c>
      <c r="F29" s="58" t="str">
        <f>"1/"&amp;M27</f>
        <v>1/5949</v>
      </c>
      <c r="G29" s="58" t="str">
        <f>"1/"&amp;N27</f>
        <v>1/3795</v>
      </c>
      <c r="H29" s="1"/>
      <c r="I29" s="1"/>
      <c r="J29" s="1"/>
      <c r="K29" s="63"/>
      <c r="M29" s="1"/>
    </row>
    <row r="30" spans="1:13" ht="14.25">
      <c r="A30" s="58" t="s">
        <v>258</v>
      </c>
      <c r="B30" s="261">
        <f>MAX(B28+G28,C28+F28)</f>
        <v>5.2345613057232665</v>
      </c>
      <c r="C30" s="262" t="str">
        <f>"1/"&amp;M30</f>
        <v>1/573</v>
      </c>
      <c r="F30" s="58"/>
      <c r="G30" s="58"/>
      <c r="H30" s="1"/>
      <c r="I30" s="1"/>
      <c r="J30" s="1"/>
      <c r="K30" s="63"/>
      <c r="M30" s="1">
        <f>INT(1000*MIN(F3,F4)/B30)</f>
        <v>573</v>
      </c>
    </row>
    <row r="31" spans="1:13" ht="14.25">
      <c r="A31" s="58"/>
      <c r="E31" s="58"/>
      <c r="F31" s="58"/>
      <c r="H31" s="1"/>
      <c r="I31" s="1"/>
      <c r="J31" s="1"/>
      <c r="K31" s="63"/>
      <c r="M31" s="1"/>
    </row>
    <row r="32" spans="1:13" ht="14.25">
      <c r="A32" s="296" t="s">
        <v>242</v>
      </c>
      <c r="B32" s="297"/>
      <c r="C32" s="297"/>
      <c r="D32" s="297"/>
      <c r="E32" s="297"/>
      <c r="F32" s="297"/>
      <c r="G32" s="297"/>
      <c r="H32" s="297"/>
      <c r="I32" s="298"/>
      <c r="J32" s="1"/>
      <c r="K32" s="1"/>
      <c r="M32" s="1"/>
    </row>
    <row r="33" spans="1:9" ht="19.5" thickBot="1">
      <c r="A33" s="58" t="s">
        <v>200</v>
      </c>
      <c r="B33">
        <f>'X向计算'!F1</f>
        <v>3</v>
      </c>
      <c r="C33" t="s">
        <v>158</v>
      </c>
      <c r="D33" s="58" t="s">
        <v>240</v>
      </c>
      <c r="E33" s="48">
        <f>B33*1000-I5/3</f>
        <v>2733.3333333333335</v>
      </c>
      <c r="F33" s="1" t="s">
        <v>148</v>
      </c>
      <c r="G33" s="2" t="s">
        <v>41</v>
      </c>
      <c r="H33" s="48">
        <f>F4</f>
        <v>3.4</v>
      </c>
      <c r="I33" s="1" t="s">
        <v>36</v>
      </c>
    </row>
    <row r="34" spans="1:12" ht="15" thickTop="1">
      <c r="A34" s="39"/>
      <c r="B34" s="311" t="s">
        <v>109</v>
      </c>
      <c r="C34" s="300"/>
      <c r="D34" s="300"/>
      <c r="E34" s="312"/>
      <c r="F34" s="299" t="s">
        <v>137</v>
      </c>
      <c r="G34" s="300"/>
      <c r="H34" s="300"/>
      <c r="I34" s="301"/>
      <c r="K34">
        <v>0</v>
      </c>
      <c r="L34">
        <v>0</v>
      </c>
    </row>
    <row r="35" spans="1:12" ht="14.25">
      <c r="A35" s="40"/>
      <c r="B35" s="302" t="s">
        <v>74</v>
      </c>
      <c r="C35" s="303"/>
      <c r="D35" s="303" t="s">
        <v>75</v>
      </c>
      <c r="E35" s="308"/>
      <c r="F35" s="307" t="s">
        <v>74</v>
      </c>
      <c r="G35" s="303"/>
      <c r="H35" s="303" t="s">
        <v>75</v>
      </c>
      <c r="I35" s="316"/>
      <c r="K35" s="62">
        <f>F3</f>
        <v>3</v>
      </c>
      <c r="L35">
        <v>0</v>
      </c>
    </row>
    <row r="36" spans="1:12" ht="14.25">
      <c r="A36" s="40"/>
      <c r="B36" s="19" t="s">
        <v>80</v>
      </c>
      <c r="C36" s="18" t="s">
        <v>81</v>
      </c>
      <c r="D36" s="18" t="s">
        <v>80</v>
      </c>
      <c r="E36" s="32" t="s">
        <v>81</v>
      </c>
      <c r="F36" s="34" t="s">
        <v>80</v>
      </c>
      <c r="G36" s="18" t="s">
        <v>81</v>
      </c>
      <c r="H36" s="18" t="s">
        <v>80</v>
      </c>
      <c r="I36" s="17" t="s">
        <v>81</v>
      </c>
      <c r="K36">
        <v>0</v>
      </c>
      <c r="L36" s="62">
        <f>F4</f>
        <v>3.4</v>
      </c>
    </row>
    <row r="37" spans="1:12" ht="15" thickBot="1">
      <c r="A37" s="41"/>
      <c r="B37" s="30" t="s">
        <v>82</v>
      </c>
      <c r="C37" s="31" t="s">
        <v>82</v>
      </c>
      <c r="D37" s="31" t="s">
        <v>82</v>
      </c>
      <c r="E37" s="33" t="s">
        <v>82</v>
      </c>
      <c r="F37" s="35" t="s">
        <v>82</v>
      </c>
      <c r="G37" s="36" t="s">
        <v>82</v>
      </c>
      <c r="H37" s="36" t="s">
        <v>82</v>
      </c>
      <c r="I37" s="37" t="s">
        <v>82</v>
      </c>
      <c r="K37" s="62">
        <f>F3</f>
        <v>3</v>
      </c>
      <c r="L37" s="62">
        <f>F4</f>
        <v>3.4</v>
      </c>
    </row>
    <row r="38" spans="1:9" ht="15" thickTop="1">
      <c r="A38" s="42" t="s">
        <v>96</v>
      </c>
      <c r="B38" s="304" t="str">
        <f>B7&amp;" mm"</f>
        <v>0.3 mm</v>
      </c>
      <c r="C38" s="305"/>
      <c r="D38" s="305"/>
      <c r="E38" s="305"/>
      <c r="F38" s="305"/>
      <c r="G38" s="305"/>
      <c r="H38" s="305"/>
      <c r="I38" s="306"/>
    </row>
    <row r="39" spans="1:9" ht="14.25">
      <c r="A39" s="43" t="s">
        <v>134</v>
      </c>
      <c r="B39" s="27">
        <f>'X向计算'!B12</f>
        <v>69.94697033333333</v>
      </c>
      <c r="C39" s="20">
        <f>'X向计算'!C12</f>
        <v>38.09187091111111</v>
      </c>
      <c r="D39" s="20">
        <f>'X向计算'!D12</f>
        <v>23.315656777777775</v>
      </c>
      <c r="E39" s="21">
        <f>'X向计算'!E12</f>
        <v>31.166076199999992</v>
      </c>
      <c r="F39" s="27">
        <f>'X向计算'!F12</f>
        <v>42.95420033333334</v>
      </c>
      <c r="G39" s="20">
        <f>'X向计算'!G12</f>
        <v>18.676841088888896</v>
      </c>
      <c r="H39" s="20">
        <f>'X向计算'!H12</f>
        <v>14.318066777777782</v>
      </c>
      <c r="I39" s="21">
        <f>'X向计算'!I12</f>
        <v>15.281051800000004</v>
      </c>
    </row>
    <row r="40" spans="1:9" ht="14.25">
      <c r="A40" s="43" t="s">
        <v>135</v>
      </c>
      <c r="B40" s="27">
        <f>'X向计算'!B13</f>
        <v>54.370544166666676</v>
      </c>
      <c r="C40" s="20">
        <f>'X向计算'!C13</f>
        <v>29.609227388888893</v>
      </c>
      <c r="D40" s="20">
        <f>'X向计算'!D13</f>
        <v>18.123514722222225</v>
      </c>
      <c r="E40" s="21">
        <f>'X向计算'!E13</f>
        <v>24.225731500000002</v>
      </c>
      <c r="F40" s="27">
        <f>'X向计算'!F13</f>
        <v>33.38876916666668</v>
      </c>
      <c r="G40" s="20">
        <f>'X向计算'!G13</f>
        <v>14.517712611111117</v>
      </c>
      <c r="H40" s="20">
        <f>'X向计算'!H13</f>
        <v>11.129589722222224</v>
      </c>
      <c r="I40" s="21">
        <f>'X向计算'!I13</f>
        <v>11.878128500000003</v>
      </c>
    </row>
    <row r="41" spans="1:9" ht="14.25">
      <c r="A41" s="43" t="s">
        <v>129</v>
      </c>
      <c r="B41" s="27">
        <f>'X向计算'!B15</f>
        <v>1219.3787147701164</v>
      </c>
      <c r="C41" s="20">
        <f>'X向计算'!C15</f>
        <v>643.723247033209</v>
      </c>
      <c r="D41" s="20">
        <f>'X向计算'!D15</f>
        <v>388.7454024151867</v>
      </c>
      <c r="E41" s="21">
        <f>'X向计算'!E15</f>
        <v>523.3321132044382</v>
      </c>
      <c r="F41" s="27">
        <f>'X向计算'!F15</f>
        <v>729.2078583298076</v>
      </c>
      <c r="G41" s="20">
        <f>'X向计算'!G15</f>
        <v>310.122427879987</v>
      </c>
      <c r="H41" s="20">
        <f>'X向计算'!H15</f>
        <v>236.83959462664376</v>
      </c>
      <c r="I41" s="21">
        <f>'X向计算'!I15</f>
        <v>252.98118907533382</v>
      </c>
    </row>
    <row r="42" spans="1:9" ht="14.25">
      <c r="A42" s="43" t="s">
        <v>130</v>
      </c>
      <c r="B42" s="149">
        <f>'X向计算'!B16</f>
        <v>1135.5264512000215</v>
      </c>
      <c r="C42" s="150">
        <f>'X向计算'!C16</f>
        <v>618.3874267768023</v>
      </c>
      <c r="D42" s="150">
        <f>'X向计算'!D16</f>
        <v>378.5088170666739</v>
      </c>
      <c r="E42" s="151">
        <f>'X向计算'!E16</f>
        <v>505.95334918102003</v>
      </c>
      <c r="F42" s="149">
        <f>'X向计算'!F16</f>
        <v>697.3229924927956</v>
      </c>
      <c r="G42" s="150">
        <f>'X向计算'!G16</f>
        <v>303.2017967358055</v>
      </c>
      <c r="H42" s="150">
        <f>'X向计算'!H16</f>
        <v>232.4409974975985</v>
      </c>
      <c r="I42" s="151">
        <f>'X向计算'!I16</f>
        <v>248.0741973292954</v>
      </c>
    </row>
    <row r="43" spans="1:9" ht="14.25">
      <c r="A43" s="43" t="s">
        <v>71</v>
      </c>
      <c r="B43" s="131">
        <f>'X向计算'!B17</f>
        <v>0.004877514859080466</v>
      </c>
      <c r="C43" s="132">
        <f>'X向计算'!C17</f>
        <v>0.002574892988132836</v>
      </c>
      <c r="D43" s="132">
        <f>'X向计算'!D17</f>
        <v>0.0015549816096607468</v>
      </c>
      <c r="E43" s="133">
        <f>'X向计算'!E17</f>
        <v>0.0020933284528177527</v>
      </c>
      <c r="F43" s="131">
        <f>'X向计算'!F17</f>
        <v>0.0029168314333192303</v>
      </c>
      <c r="G43" s="132">
        <f>'X向计算'!G17</f>
        <v>0.001240489711519948</v>
      </c>
      <c r="H43" s="132">
        <f>'X向计算'!H17</f>
        <v>0.0009473583785065751</v>
      </c>
      <c r="I43" s="133">
        <f>'X向计算'!I17</f>
        <v>0.0010119247563013353</v>
      </c>
    </row>
    <row r="44" spans="1:9" ht="14.25">
      <c r="A44" s="43" t="s">
        <v>84</v>
      </c>
      <c r="B44" s="131">
        <f>'X向计算'!B18</f>
        <v>0.0021449999999999998</v>
      </c>
      <c r="C44" s="132">
        <f>'X向计算'!C18</f>
        <v>0.0021449999999999998</v>
      </c>
      <c r="D44" s="132">
        <f>'X向计算'!D18</f>
        <v>0.0021449999999999998</v>
      </c>
      <c r="E44" s="133">
        <f>'X向计算'!E18</f>
        <v>0.0021449999999999998</v>
      </c>
      <c r="F44" s="131">
        <f>'X向计算'!F18</f>
        <v>0.0021449999999999998</v>
      </c>
      <c r="G44" s="132">
        <f>'X向计算'!G18</f>
        <v>0.0021449999999999998</v>
      </c>
      <c r="H44" s="132">
        <f>'X向计算'!H18</f>
        <v>0.0021449999999999998</v>
      </c>
      <c r="I44" s="133">
        <f>'X向计算'!I18</f>
        <v>0.0021449999999999998</v>
      </c>
    </row>
    <row r="45" spans="1:9" ht="14.25">
      <c r="A45" s="43" t="s">
        <v>266</v>
      </c>
      <c r="B45" s="123">
        <f>'X向计算'!B19</f>
        <v>1219.3787147701164</v>
      </c>
      <c r="C45" s="124">
        <f>'X向计算'!C19</f>
        <v>643.7232470332091</v>
      </c>
      <c r="D45" s="124">
        <f>'X向计算'!D19</f>
        <v>536.2499999999999</v>
      </c>
      <c r="E45" s="125">
        <f>'X向计算'!E19</f>
        <v>536.2499999999999</v>
      </c>
      <c r="F45" s="123">
        <f>'X向计算'!F19</f>
        <v>729.2078583298077</v>
      </c>
      <c r="G45" s="124">
        <f>'X向计算'!G19</f>
        <v>536.2499999999999</v>
      </c>
      <c r="H45" s="124">
        <f>'X向计算'!H19</f>
        <v>536.2499999999999</v>
      </c>
      <c r="I45" s="125">
        <f>'X向计算'!I19</f>
        <v>536.2499999999999</v>
      </c>
    </row>
    <row r="46" spans="1:9" ht="14.25">
      <c r="A46" s="43" t="s">
        <v>90</v>
      </c>
      <c r="B46" s="27">
        <f>'X向计算'!B20</f>
        <v>9.572122910945415</v>
      </c>
      <c r="C46" s="20">
        <f>'X向计算'!C20</f>
        <v>5.053227489210691</v>
      </c>
      <c r="D46" s="20">
        <f>'X向计算'!D20</f>
        <v>4.2095625</v>
      </c>
      <c r="E46" s="21">
        <f>'X向计算'!E20</f>
        <v>4.2095625</v>
      </c>
      <c r="F46" s="27">
        <f>'X向计算'!F20</f>
        <v>5.724281687888991</v>
      </c>
      <c r="G46" s="20">
        <f>'X向计算'!G20</f>
        <v>4.2095625</v>
      </c>
      <c r="H46" s="20">
        <f>'X向计算'!H20</f>
        <v>4.2095625</v>
      </c>
      <c r="I46" s="21">
        <f>'X向计算'!I20</f>
        <v>4.2095625</v>
      </c>
    </row>
    <row r="47" spans="1:9" ht="14.25">
      <c r="A47" s="43" t="s">
        <v>85</v>
      </c>
      <c r="B47" s="27">
        <f>'X向计算'!B21</f>
        <v>117.52682454079613</v>
      </c>
      <c r="C47" s="20"/>
      <c r="D47" s="20"/>
      <c r="E47" s="21"/>
      <c r="F47" s="27">
        <f>'X向计算'!F21</f>
        <v>93.60014285823385</v>
      </c>
      <c r="G47" s="20"/>
      <c r="H47" s="20"/>
      <c r="I47" s="21"/>
    </row>
    <row r="48" spans="1:9" ht="14.25">
      <c r="A48" s="43" t="s">
        <v>87</v>
      </c>
      <c r="B48" s="27">
        <f>'X向计算'!B22</f>
        <v>11.522237700078053</v>
      </c>
      <c r="C48" s="20"/>
      <c r="D48" s="20"/>
      <c r="E48" s="21"/>
      <c r="F48" s="27">
        <f>'X向计算'!F22</f>
        <v>9.176484593944496</v>
      </c>
      <c r="G48" s="20"/>
      <c r="H48" s="20"/>
      <c r="I48" s="21"/>
    </row>
    <row r="49" spans="1:9" ht="14.25">
      <c r="A49" s="43" t="s">
        <v>104</v>
      </c>
      <c r="B49" s="127">
        <f>'选筋计算（X向）'!B3</f>
        <v>14</v>
      </c>
      <c r="C49" s="127">
        <f>'选筋计算（X向）'!C3</f>
        <v>12</v>
      </c>
      <c r="D49" s="127">
        <f>'选筋计算（X向）'!D3</f>
        <v>12</v>
      </c>
      <c r="E49" s="127">
        <f>'选筋计算（X向）'!E3</f>
        <v>12</v>
      </c>
      <c r="F49" s="127">
        <f>'选筋计算（X向）'!F3</f>
        <v>12</v>
      </c>
      <c r="G49" s="127">
        <f>'选筋计算（X向）'!G3</f>
        <v>12</v>
      </c>
      <c r="H49" s="127">
        <f>'选筋计算（X向）'!H3</f>
        <v>12</v>
      </c>
      <c r="I49" s="127">
        <f>'选筋计算（X向）'!I3</f>
        <v>12</v>
      </c>
    </row>
    <row r="50" spans="1:9" ht="14.25">
      <c r="A50" s="43" t="s">
        <v>105</v>
      </c>
      <c r="B50" s="152">
        <f>'X向计算'!B26</f>
        <v>120</v>
      </c>
      <c r="C50" s="153">
        <f>'X向计算'!C26</f>
        <v>170</v>
      </c>
      <c r="D50" s="153">
        <f>'X向计算'!D26</f>
        <v>200</v>
      </c>
      <c r="E50" s="154">
        <f>'X向计算'!E26</f>
        <v>200</v>
      </c>
      <c r="F50" s="152">
        <f>'X向计算'!F26</f>
        <v>150</v>
      </c>
      <c r="G50" s="153">
        <f>'X向计算'!G26</f>
        <v>200</v>
      </c>
      <c r="H50" s="153">
        <f>'X向计算'!H26</f>
        <v>200</v>
      </c>
      <c r="I50" s="154">
        <f>'X向计算'!I26</f>
        <v>200</v>
      </c>
    </row>
    <row r="51" spans="1:9" ht="15" thickBot="1">
      <c r="A51" s="44"/>
      <c r="B51" s="29" t="str">
        <f>'X向计算'!B27</f>
        <v>φ14@120</v>
      </c>
      <c r="C51" s="25" t="str">
        <f>'X向计算'!C27</f>
        <v>φ12@170</v>
      </c>
      <c r="D51" s="25" t="str">
        <f>'X向计算'!D27</f>
        <v>φ12@200</v>
      </c>
      <c r="E51" s="26" t="str">
        <f>'X向计算'!E27</f>
        <v>φ12@200</v>
      </c>
      <c r="F51" s="29" t="str">
        <f>'X向计算'!F27</f>
        <v>φ12@150</v>
      </c>
      <c r="G51" s="25" t="str">
        <f>'X向计算'!G27</f>
        <v>φ12@200</v>
      </c>
      <c r="H51" s="25" t="str">
        <f>'X向计算'!H27</f>
        <v>φ12@200</v>
      </c>
      <c r="I51" s="26" t="str">
        <f>'X向计算'!I27</f>
        <v>φ12@200</v>
      </c>
    </row>
    <row r="52" spans="1:9" ht="15" thickTop="1">
      <c r="A52" s="199" t="s">
        <v>267</v>
      </c>
      <c r="B52" s="200">
        <f aca="true" t="shared" si="0" ref="B52:I52">3.14159*B49^2/4*1000/B50</f>
        <v>1282.8159166666665</v>
      </c>
      <c r="C52" s="200">
        <f t="shared" si="0"/>
        <v>665.2778823529412</v>
      </c>
      <c r="D52" s="200">
        <f t="shared" si="0"/>
        <v>565.4862</v>
      </c>
      <c r="E52" s="200">
        <f t="shared" si="0"/>
        <v>565.4862</v>
      </c>
      <c r="F52" s="200">
        <f t="shared" si="0"/>
        <v>753.9816000000001</v>
      </c>
      <c r="G52" s="200">
        <f t="shared" si="0"/>
        <v>565.4862</v>
      </c>
      <c r="H52" s="200">
        <f t="shared" si="0"/>
        <v>565.4862</v>
      </c>
      <c r="I52" s="201">
        <f t="shared" si="0"/>
        <v>565.4862</v>
      </c>
    </row>
    <row r="53" spans="1:9" ht="14.25">
      <c r="A53" s="157" t="s">
        <v>268</v>
      </c>
      <c r="B53" s="145">
        <f>B52/B45</f>
        <v>1.0520241998061362</v>
      </c>
      <c r="C53" s="145">
        <f aca="true" t="shared" si="1" ref="C53:I53">C52/C45</f>
        <v>1.0334843201936128</v>
      </c>
      <c r="D53" s="145">
        <f t="shared" si="1"/>
        <v>1.0545197202797205</v>
      </c>
      <c r="E53" s="145">
        <f t="shared" si="1"/>
        <v>1.0545197202797205</v>
      </c>
      <c r="F53" s="145">
        <f t="shared" si="1"/>
        <v>1.0339734979364248</v>
      </c>
      <c r="G53" s="145">
        <f t="shared" si="1"/>
        <v>1.0545197202797205</v>
      </c>
      <c r="H53" s="145">
        <f t="shared" si="1"/>
        <v>1.0545197202797205</v>
      </c>
      <c r="I53" s="184">
        <f t="shared" si="1"/>
        <v>1.0545197202797205</v>
      </c>
    </row>
    <row r="54" spans="1:9" ht="14.25">
      <c r="A54" s="157" t="s">
        <v>281</v>
      </c>
      <c r="B54" s="202">
        <f>B52/1000/$F$5</f>
        <v>0.005131263666666666</v>
      </c>
      <c r="C54" s="202">
        <f aca="true" t="shared" si="2" ref="C54:I54">C52/1000/$F$5</f>
        <v>0.002661111529411765</v>
      </c>
      <c r="D54" s="202">
        <f t="shared" si="2"/>
        <v>0.0022619448000000004</v>
      </c>
      <c r="E54" s="202">
        <f t="shared" si="2"/>
        <v>0.0022619448000000004</v>
      </c>
      <c r="F54" s="202">
        <f t="shared" si="2"/>
        <v>0.0030159264</v>
      </c>
      <c r="G54" s="202">
        <f t="shared" si="2"/>
        <v>0.0022619448000000004</v>
      </c>
      <c r="H54" s="202">
        <f t="shared" si="2"/>
        <v>0.0022619448000000004</v>
      </c>
      <c r="I54" s="203">
        <f t="shared" si="2"/>
        <v>0.0022619448000000004</v>
      </c>
    </row>
    <row r="55" spans="1:9" ht="15" thickBot="1">
      <c r="A55" s="204" t="s">
        <v>282</v>
      </c>
      <c r="B55" s="317"/>
      <c r="C55" s="317"/>
      <c r="D55" s="317"/>
      <c r="E55" s="317"/>
      <c r="F55" s="205">
        <f>'选筋（X向）'!H8</f>
        <v>0.14286952043194942</v>
      </c>
      <c r="G55" s="205">
        <f>'选筋（X向）'!I8</f>
        <v>0.08754880790494927</v>
      </c>
      <c r="H55" s="205">
        <f>'选筋（X向）'!J8</f>
        <v>0.06711679303432337</v>
      </c>
      <c r="I55" s="205">
        <f>'选筋（X向）'!K8</f>
        <v>0.07163084283132211</v>
      </c>
    </row>
    <row r="56" spans="1:9" ht="15" thickTop="1">
      <c r="A56" s="47"/>
      <c r="B56" s="197"/>
      <c r="C56" s="197"/>
      <c r="D56" s="197"/>
      <c r="E56" s="197"/>
      <c r="F56" s="197"/>
      <c r="G56" s="197"/>
      <c r="H56" s="197"/>
      <c r="I56" s="197"/>
    </row>
    <row r="58" spans="1:9" ht="14.25">
      <c r="A58" s="292" t="s">
        <v>243</v>
      </c>
      <c r="B58" s="292"/>
      <c r="C58" s="292"/>
      <c r="D58" s="292"/>
      <c r="E58" s="292"/>
      <c r="F58" s="292"/>
      <c r="G58" s="292"/>
      <c r="H58" s="292"/>
      <c r="I58" s="292"/>
    </row>
    <row r="59" spans="1:9" ht="14.25">
      <c r="A59" s="140" t="s">
        <v>146</v>
      </c>
      <c r="B59" s="141"/>
      <c r="C59" s="141"/>
      <c r="D59" s="141"/>
      <c r="E59" s="141"/>
      <c r="F59" s="142" t="s">
        <v>152</v>
      </c>
      <c r="G59" s="142" t="s">
        <v>151</v>
      </c>
      <c r="H59" s="142" t="s">
        <v>165</v>
      </c>
      <c r="I59" s="141" t="s">
        <v>160</v>
      </c>
    </row>
    <row r="60" spans="1:9" ht="14.25">
      <c r="A60" s="140" t="s">
        <v>245</v>
      </c>
      <c r="B60" s="141" t="s">
        <v>246</v>
      </c>
      <c r="C60" s="141"/>
      <c r="D60" s="141"/>
      <c r="E60" s="141"/>
      <c r="F60" s="141" t="str">
        <f>"d"&amp;F49&amp;"@"&amp;2*F50</f>
        <v>d12@300</v>
      </c>
      <c r="G60" s="139">
        <f>B33*1000</f>
        <v>3000</v>
      </c>
      <c r="H60" s="141">
        <f>F45/2</f>
        <v>364.60392916490383</v>
      </c>
      <c r="I60" s="141">
        <f>H60*0.00785*G60/1000</f>
        <v>8.586422531833485</v>
      </c>
    </row>
    <row r="61" spans="1:9" ht="14.25">
      <c r="A61" s="140" t="s">
        <v>150</v>
      </c>
      <c r="B61" s="141" t="s">
        <v>247</v>
      </c>
      <c r="C61" s="141"/>
      <c r="D61" s="141"/>
      <c r="E61" s="141"/>
      <c r="F61" s="141" t="str">
        <f>"d"&amp;F49&amp;"@"&amp;2*F50</f>
        <v>d12@300</v>
      </c>
      <c r="G61" s="139">
        <f>INT((0.35*E33+I5/3)/10)*10</f>
        <v>1220</v>
      </c>
      <c r="H61" s="141">
        <f>F45/2</f>
        <v>364.60392916490383</v>
      </c>
      <c r="I61" s="141">
        <f>H61*0.00785*G61/1000</f>
        <v>3.491811829612284</v>
      </c>
    </row>
    <row r="62" spans="1:9" ht="14.25">
      <c r="A62" s="140" t="s">
        <v>157</v>
      </c>
      <c r="B62" s="141" t="s">
        <v>246</v>
      </c>
      <c r="C62" s="141"/>
      <c r="D62" s="141"/>
      <c r="E62" s="141"/>
      <c r="F62" s="141" t="str">
        <f>G51</f>
        <v>φ12@200</v>
      </c>
      <c r="G62" s="139">
        <f>B33*1000</f>
        <v>3000</v>
      </c>
      <c r="H62" s="141">
        <f>G45</f>
        <v>536.2499999999999</v>
      </c>
      <c r="I62" s="141">
        <f>H62*0.00785*G62/1000</f>
        <v>12.628687499999996</v>
      </c>
    </row>
    <row r="63" spans="1:9" ht="14.25">
      <c r="A63" s="140" t="s">
        <v>156</v>
      </c>
      <c r="B63" s="141"/>
      <c r="C63" s="141"/>
      <c r="D63" s="141"/>
      <c r="E63" s="141"/>
      <c r="F63" s="142" t="s">
        <v>152</v>
      </c>
      <c r="G63" s="142" t="s">
        <v>151</v>
      </c>
      <c r="H63" s="142" t="s">
        <v>165</v>
      </c>
      <c r="I63" s="141" t="s">
        <v>160</v>
      </c>
    </row>
    <row r="64" spans="1:9" ht="14.25">
      <c r="A64" s="140" t="s">
        <v>155</v>
      </c>
      <c r="B64" s="141" t="s">
        <v>246</v>
      </c>
      <c r="C64" s="141"/>
      <c r="D64" s="141"/>
      <c r="E64" s="141"/>
      <c r="F64" s="141" t="str">
        <f>H51</f>
        <v>φ12@200</v>
      </c>
      <c r="G64" s="139">
        <f>B33*1000</f>
        <v>3000</v>
      </c>
      <c r="H64" s="141">
        <f>H45</f>
        <v>536.2499999999999</v>
      </c>
      <c r="I64" s="141">
        <f>H64*0.00785*G64/1000</f>
        <v>12.628687499999996</v>
      </c>
    </row>
    <row r="65" spans="1:9" ht="14.25">
      <c r="A65" s="140" t="s">
        <v>154</v>
      </c>
      <c r="B65" s="141" t="s">
        <v>246</v>
      </c>
      <c r="C65" s="141"/>
      <c r="D65" s="141"/>
      <c r="E65" s="141"/>
      <c r="F65" s="141" t="str">
        <f>I51</f>
        <v>φ12@200</v>
      </c>
      <c r="G65" s="139">
        <f>B33*1000</f>
        <v>3000</v>
      </c>
      <c r="H65" s="141">
        <f>I45</f>
        <v>536.2499999999999</v>
      </c>
      <c r="I65" s="141">
        <f>H65*0.00785*G65/1000</f>
        <v>12.628687499999996</v>
      </c>
    </row>
    <row r="66" spans="1:9" ht="14.25">
      <c r="A66" s="47"/>
      <c r="B66" s="48"/>
      <c r="C66" s="48"/>
      <c r="D66" s="48"/>
      <c r="E66" s="48"/>
      <c r="F66" s="48"/>
      <c r="G66" s="48"/>
      <c r="H66" s="59" t="s">
        <v>162</v>
      </c>
      <c r="I66" s="48">
        <f>SUM(I60:I65)</f>
        <v>49.96429686144576</v>
      </c>
    </row>
    <row r="67" spans="1:9" ht="14.25">
      <c r="A67" s="47"/>
      <c r="B67" s="48"/>
      <c r="C67" s="48"/>
      <c r="D67" s="48"/>
      <c r="E67" s="48"/>
      <c r="F67" s="48"/>
      <c r="G67" s="48"/>
      <c r="H67" s="59" t="s">
        <v>166</v>
      </c>
      <c r="I67" s="48">
        <f>I66*H33/2</f>
        <v>84.9393046644578</v>
      </c>
    </row>
    <row r="68" spans="1:9" ht="14.25">
      <c r="A68" s="296" t="s">
        <v>241</v>
      </c>
      <c r="B68" s="297"/>
      <c r="C68" s="297"/>
      <c r="D68" s="297"/>
      <c r="E68" s="297"/>
      <c r="F68" s="297"/>
      <c r="G68" s="297"/>
      <c r="H68" s="297"/>
      <c r="I68" s="298"/>
    </row>
    <row r="69" spans="1:9" ht="19.5" thickBot="1">
      <c r="A69" s="43" t="s">
        <v>201</v>
      </c>
      <c r="B69" s="62">
        <f>F4</f>
        <v>3.4</v>
      </c>
      <c r="C69" t="s">
        <v>158</v>
      </c>
      <c r="D69" t="s">
        <v>202</v>
      </c>
      <c r="E69" s="48">
        <f>B69*1000-I5/3</f>
        <v>3133.3333333333335</v>
      </c>
      <c r="F69" s="1" t="s">
        <v>148</v>
      </c>
      <c r="G69" s="1" t="s">
        <v>41</v>
      </c>
      <c r="H69" s="48">
        <f>F3</f>
        <v>3</v>
      </c>
      <c r="I69" s="1" t="s">
        <v>36</v>
      </c>
    </row>
    <row r="70" spans="1:9" ht="15" thickTop="1">
      <c r="A70" s="39"/>
      <c r="B70" s="311" t="s">
        <v>109</v>
      </c>
      <c r="C70" s="300"/>
      <c r="D70" s="300"/>
      <c r="E70" s="312"/>
      <c r="F70" s="299" t="s">
        <v>137</v>
      </c>
      <c r="G70" s="300"/>
      <c r="H70" s="300"/>
      <c r="I70" s="301"/>
    </row>
    <row r="71" spans="1:9" ht="14.25">
      <c r="A71" s="40"/>
      <c r="B71" s="302" t="s">
        <v>74</v>
      </c>
      <c r="C71" s="303"/>
      <c r="D71" s="303" t="s">
        <v>75</v>
      </c>
      <c r="E71" s="308"/>
      <c r="F71" s="307" t="s">
        <v>74</v>
      </c>
      <c r="G71" s="303"/>
      <c r="H71" s="303" t="s">
        <v>75</v>
      </c>
      <c r="I71" s="316"/>
    </row>
    <row r="72" spans="1:9" ht="14.25">
      <c r="A72" s="40"/>
      <c r="B72" s="19" t="s">
        <v>80</v>
      </c>
      <c r="C72" s="18" t="s">
        <v>81</v>
      </c>
      <c r="D72" s="18" t="s">
        <v>80</v>
      </c>
      <c r="E72" s="32" t="s">
        <v>81</v>
      </c>
      <c r="F72" s="34" t="s">
        <v>80</v>
      </c>
      <c r="G72" s="18" t="s">
        <v>81</v>
      </c>
      <c r="H72" s="18" t="s">
        <v>80</v>
      </c>
      <c r="I72" s="17" t="s">
        <v>81</v>
      </c>
    </row>
    <row r="73" spans="1:9" ht="15" thickBot="1">
      <c r="A73" s="41"/>
      <c r="B73" s="30" t="s">
        <v>82</v>
      </c>
      <c r="C73" s="31" t="s">
        <v>82</v>
      </c>
      <c r="D73" s="31" t="s">
        <v>82</v>
      </c>
      <c r="E73" s="33" t="s">
        <v>82</v>
      </c>
      <c r="F73" s="35" t="s">
        <v>82</v>
      </c>
      <c r="G73" s="36" t="s">
        <v>82</v>
      </c>
      <c r="H73" s="36" t="s">
        <v>82</v>
      </c>
      <c r="I73" s="37" t="s">
        <v>82</v>
      </c>
    </row>
    <row r="74" spans="1:9" ht="15" thickTop="1">
      <c r="A74" s="42" t="s">
        <v>96</v>
      </c>
      <c r="B74" s="304" t="str">
        <f>B7&amp;" mm"</f>
        <v>0.3 mm</v>
      </c>
      <c r="C74" s="305"/>
      <c r="D74" s="305"/>
      <c r="E74" s="305"/>
      <c r="F74" s="305"/>
      <c r="G74" s="305"/>
      <c r="H74" s="305"/>
      <c r="I74" s="306"/>
    </row>
    <row r="75" spans="1:9" ht="14.25">
      <c r="A75" s="43" t="s">
        <v>134</v>
      </c>
      <c r="B75" s="27">
        <f>'Y向计算'!B12</f>
        <v>91.91722633333335</v>
      </c>
      <c r="C75" s="20">
        <f>'Y向计算'!C12</f>
        <v>50.05647997777778</v>
      </c>
      <c r="D75" s="20">
        <f>'Y向计算'!D12</f>
        <v>30.639075444444448</v>
      </c>
      <c r="E75" s="21">
        <f>'Y向计算'!E12</f>
        <v>40.9553018</v>
      </c>
      <c r="F75" s="27">
        <f>'Y向计算'!F12</f>
        <v>58.014840333333346</v>
      </c>
      <c r="G75" s="20">
        <f>'Y向计算'!G12</f>
        <v>25.225331755555562</v>
      </c>
      <c r="H75" s="20">
        <f>'Y向计算'!H12</f>
        <v>19.338280111111114</v>
      </c>
      <c r="I75" s="21">
        <f>'Y向计算'!I12</f>
        <v>20.638907800000002</v>
      </c>
    </row>
    <row r="76" spans="1:9" ht="14.25">
      <c r="A76" s="43" t="s">
        <v>135</v>
      </c>
      <c r="B76" s="27">
        <f>'Y向计算'!B13</f>
        <v>71.44826416666668</v>
      </c>
      <c r="C76" s="20">
        <f>'Y向计算'!C13</f>
        <v>38.90944872222222</v>
      </c>
      <c r="D76" s="20">
        <f>'Y向计算'!D13</f>
        <v>23.816088055555557</v>
      </c>
      <c r="E76" s="21">
        <f>'Y向计算'!E13</f>
        <v>31.8350035</v>
      </c>
      <c r="F76" s="27">
        <f>'Y向计算'!F13</f>
        <v>45.09556916666667</v>
      </c>
      <c r="G76" s="20">
        <f>'Y向计算'!G13</f>
        <v>19.607925944444446</v>
      </c>
      <c r="H76" s="20">
        <f>'Y向计算'!H13</f>
        <v>15.03185638888889</v>
      </c>
      <c r="I76" s="21">
        <f>'Y向计算'!I13</f>
        <v>16.0428485</v>
      </c>
    </row>
    <row r="77" spans="1:9" ht="14.25">
      <c r="A77" s="43" t="s">
        <v>129</v>
      </c>
      <c r="B77" s="27">
        <f>'Y向计算'!B15</f>
        <v>1640.2555658719468</v>
      </c>
      <c r="C77" s="20">
        <f>'Y向计算'!C15</f>
        <v>855.5537420986795</v>
      </c>
      <c r="D77" s="20">
        <f>'Y向计算'!D15</f>
        <v>514.2356874837049</v>
      </c>
      <c r="E77" s="21">
        <f>'Y向计算'!E15</f>
        <v>693.9672644127268</v>
      </c>
      <c r="F77" s="27">
        <f>'Y向计算'!F15</f>
        <v>999.3023570589713</v>
      </c>
      <c r="G77" s="20">
        <f>'Y向计算'!G15</f>
        <v>421.30543707833345</v>
      </c>
      <c r="H77" s="20">
        <f>'Y向计算'!H15</f>
        <v>321.29292595760387</v>
      </c>
      <c r="I77" s="21">
        <f>'Y向计算'!I15</f>
        <v>343.2969483329478</v>
      </c>
    </row>
    <row r="78" spans="1:9" ht="14.25">
      <c r="A78" s="43" t="s">
        <v>130</v>
      </c>
      <c r="B78" s="149">
        <f>'Y向计算'!B16</f>
        <v>1492.1938909582673</v>
      </c>
      <c r="C78" s="150">
        <f>'Y向计算'!C16</f>
        <v>812.6221450029484</v>
      </c>
      <c r="D78" s="150">
        <f>'Y向计算'!D16</f>
        <v>497.3979636527558</v>
      </c>
      <c r="E78" s="151">
        <f>'Y向计算'!E16</f>
        <v>664.8726640933213</v>
      </c>
      <c r="F78" s="149">
        <f>'Y向计算'!F16</f>
        <v>941.8190015479755</v>
      </c>
      <c r="G78" s="150">
        <f>'Y向计算'!G16</f>
        <v>409.51068090906074</v>
      </c>
      <c r="H78" s="150">
        <f>'Y向计算'!H16</f>
        <v>313.9396671826585</v>
      </c>
      <c r="I78" s="151">
        <f>'Y向计算'!I16</f>
        <v>335.05419347104976</v>
      </c>
    </row>
    <row r="79" spans="1:9" ht="14.25">
      <c r="A79" s="43" t="s">
        <v>71</v>
      </c>
      <c r="B79" s="131">
        <f>'Y向计算'!B17</f>
        <v>0.006561022263487788</v>
      </c>
      <c r="C79" s="132">
        <f>'Y向计算'!C17</f>
        <v>0.0034222149683947184</v>
      </c>
      <c r="D79" s="132">
        <f>'Y向计算'!D17</f>
        <v>0.0020569427499348195</v>
      </c>
      <c r="E79" s="133">
        <f>'Y向计算'!E17</f>
        <v>0.002775869057650907</v>
      </c>
      <c r="F79" s="131">
        <f>'Y向计算'!F17</f>
        <v>0.003997209428235885</v>
      </c>
      <c r="G79" s="132">
        <f>'Y向计算'!G17</f>
        <v>0.0016852217483133338</v>
      </c>
      <c r="H79" s="132">
        <f>'Y向计算'!H17</f>
        <v>0.0012851717038304155</v>
      </c>
      <c r="I79" s="133">
        <f>'Y向计算'!I17</f>
        <v>0.0013731877933317912</v>
      </c>
    </row>
    <row r="80" spans="1:9" ht="14.25">
      <c r="A80" s="43" t="s">
        <v>84</v>
      </c>
      <c r="B80" s="131">
        <f>'Y向计算'!B18</f>
        <v>0.0021449999999999998</v>
      </c>
      <c r="C80" s="132">
        <f>'Y向计算'!C18</f>
        <v>0.0021449999999999998</v>
      </c>
      <c r="D80" s="132">
        <f>'Y向计算'!D18</f>
        <v>0.0021449999999999998</v>
      </c>
      <c r="E80" s="133">
        <f>'Y向计算'!E18</f>
        <v>0.0021449999999999998</v>
      </c>
      <c r="F80" s="131">
        <f>'Y向计算'!F18</f>
        <v>0.0021449999999999998</v>
      </c>
      <c r="G80" s="132">
        <f>'Y向计算'!G18</f>
        <v>0.0021449999999999998</v>
      </c>
      <c r="H80" s="132">
        <f>'Y向计算'!H18</f>
        <v>0.0021449999999999998</v>
      </c>
      <c r="I80" s="133">
        <f>'Y向计算'!I18</f>
        <v>0.0021449999999999998</v>
      </c>
    </row>
    <row r="81" spans="1:9" ht="14.25">
      <c r="A81" s="43" t="s">
        <v>266</v>
      </c>
      <c r="B81" s="123">
        <f>'Y向计算'!B19</f>
        <v>1640.2555658719468</v>
      </c>
      <c r="C81" s="124">
        <f>'Y向计算'!C19</f>
        <v>855.5537420986797</v>
      </c>
      <c r="D81" s="124">
        <f>'Y向计算'!D19</f>
        <v>536.2499999999999</v>
      </c>
      <c r="E81" s="125">
        <f>'Y向计算'!E19</f>
        <v>693.9672644127268</v>
      </c>
      <c r="F81" s="123">
        <f>'Y向计算'!F19</f>
        <v>999.3023570589712</v>
      </c>
      <c r="G81" s="124">
        <f>'Y向计算'!G19</f>
        <v>536.2499999999999</v>
      </c>
      <c r="H81" s="124">
        <f>'Y向计算'!H19</f>
        <v>536.2499999999999</v>
      </c>
      <c r="I81" s="125">
        <f>'Y向计算'!I19</f>
        <v>536.2499999999999</v>
      </c>
    </row>
    <row r="82" spans="1:9" ht="14.25">
      <c r="A82" s="43" t="s">
        <v>90</v>
      </c>
      <c r="B82" s="27">
        <f>'Y向计算'!B20</f>
        <v>12.876006192094783</v>
      </c>
      <c r="C82" s="20">
        <f>'Y向计算'!C20</f>
        <v>6.716096875474635</v>
      </c>
      <c r="D82" s="20">
        <f>'Y向计算'!D20</f>
        <v>4.2095625</v>
      </c>
      <c r="E82" s="21">
        <f>'Y向计算'!E20</f>
        <v>5.4476430256399055</v>
      </c>
      <c r="F82" s="27">
        <f>'Y向计算'!F20</f>
        <v>7.844523502912924</v>
      </c>
      <c r="G82" s="20">
        <f>'Y向计算'!G20</f>
        <v>4.2095625</v>
      </c>
      <c r="H82" s="20">
        <f>'Y向计算'!H20</f>
        <v>4.2095625</v>
      </c>
      <c r="I82" s="21">
        <f>'Y向计算'!I20</f>
        <v>4.2095625</v>
      </c>
    </row>
    <row r="83" spans="1:9" ht="14.25">
      <c r="A83" s="43" t="s">
        <v>85</v>
      </c>
      <c r="B83" s="27">
        <f>'Y向计算'!B21</f>
        <v>149.17147382536757</v>
      </c>
      <c r="C83" s="20"/>
      <c r="D83" s="20"/>
      <c r="E83" s="21"/>
      <c r="F83" s="27">
        <f>'Y向计算'!F21</f>
        <v>104.41337611485592</v>
      </c>
      <c r="G83" s="20"/>
      <c r="H83" s="20"/>
      <c r="I83" s="21"/>
    </row>
    <row r="84" spans="1:9" ht="14.25">
      <c r="A84" s="43" t="s">
        <v>164</v>
      </c>
      <c r="B84" s="27">
        <f>'Y向计算'!B22</f>
        <v>14.624654296604664</v>
      </c>
      <c r="C84" s="20"/>
      <c r="D84" s="20"/>
      <c r="E84" s="21"/>
      <c r="F84" s="27">
        <f>'Y向计算'!F22</f>
        <v>10.236605501456463</v>
      </c>
      <c r="G84" s="20"/>
      <c r="H84" s="20"/>
      <c r="I84" s="21"/>
    </row>
    <row r="85" spans="1:9" ht="14.25">
      <c r="A85" s="43" t="s">
        <v>104</v>
      </c>
      <c r="B85" s="127">
        <f>'选筋计算（Y向）'!B3</f>
        <v>16</v>
      </c>
      <c r="C85" s="127">
        <f>'选筋计算（Y向）'!C3</f>
        <v>12</v>
      </c>
      <c r="D85" s="127">
        <f>'选筋计算（Y向）'!D3</f>
        <v>12</v>
      </c>
      <c r="E85" s="127">
        <f>'选筋计算（Y向）'!E3</f>
        <v>12</v>
      </c>
      <c r="F85" s="127">
        <f>'选筋计算（Y向）'!F3</f>
        <v>12</v>
      </c>
      <c r="G85" s="127">
        <f>'选筋计算（Y向）'!G3</f>
        <v>12</v>
      </c>
      <c r="H85" s="127">
        <f>'选筋计算（Y向）'!H3</f>
        <v>12</v>
      </c>
      <c r="I85" s="127">
        <f>'选筋计算（Y向）'!I3</f>
        <v>12</v>
      </c>
    </row>
    <row r="86" spans="1:9" ht="15" thickBot="1">
      <c r="A86" s="43" t="s">
        <v>105</v>
      </c>
      <c r="B86" s="146">
        <f>'Y向计算'!B26</f>
        <v>120</v>
      </c>
      <c r="C86" s="147">
        <f>'Y向计算'!C26</f>
        <v>130</v>
      </c>
      <c r="D86" s="147">
        <f>'Y向计算'!D26</f>
        <v>200</v>
      </c>
      <c r="E86" s="148">
        <f>'Y向计算'!E26</f>
        <v>160</v>
      </c>
      <c r="F86" s="148">
        <f>'Y向计算'!F26</f>
        <v>110</v>
      </c>
      <c r="G86" s="148">
        <f>'Y向计算'!G26</f>
        <v>200</v>
      </c>
      <c r="H86" s="148">
        <f>'Y向计算'!H26</f>
        <v>200</v>
      </c>
      <c r="I86" s="148">
        <f>'Y向计算'!I26</f>
        <v>200</v>
      </c>
    </row>
    <row r="87" spans="1:9" ht="15.75" thickBot="1" thickTop="1">
      <c r="A87" s="198"/>
      <c r="B87" s="138" t="str">
        <f>'Y向计算'!B27</f>
        <v>φ16@120</v>
      </c>
      <c r="C87" s="138" t="str">
        <f>'Y向计算'!C27</f>
        <v>φ12@130</v>
      </c>
      <c r="D87" s="138" t="str">
        <f>'Y向计算'!D27</f>
        <v>φ12@200</v>
      </c>
      <c r="E87" s="138" t="str">
        <f>'Y向计算'!E27</f>
        <v>φ12@160</v>
      </c>
      <c r="F87" s="138" t="str">
        <f>'Y向计算'!F27</f>
        <v>φ12@110</v>
      </c>
      <c r="G87" s="138" t="str">
        <f>'Y向计算'!G27</f>
        <v>φ12@200</v>
      </c>
      <c r="H87" s="138" t="str">
        <f>'Y向计算'!H27</f>
        <v>φ12@200</v>
      </c>
      <c r="I87" s="138" t="str">
        <f>'Y向计算'!I27</f>
        <v>φ12@200</v>
      </c>
    </row>
    <row r="88" spans="1:9" ht="15" thickTop="1">
      <c r="A88" s="199" t="s">
        <v>267</v>
      </c>
      <c r="B88" s="200">
        <f>3.14159*B85^2/4*1000/B86</f>
        <v>1675.5146666666665</v>
      </c>
      <c r="C88" s="200">
        <f aca="true" t="shared" si="3" ref="C88:I88">3.14159*C85^2/4*1000/C86</f>
        <v>869.9787692307692</v>
      </c>
      <c r="D88" s="200">
        <f t="shared" si="3"/>
        <v>565.4862</v>
      </c>
      <c r="E88" s="200">
        <f t="shared" si="3"/>
        <v>706.85775</v>
      </c>
      <c r="F88" s="200">
        <f t="shared" si="3"/>
        <v>1028.1567272727273</v>
      </c>
      <c r="G88" s="200">
        <f t="shared" si="3"/>
        <v>565.4862</v>
      </c>
      <c r="H88" s="200">
        <f t="shared" si="3"/>
        <v>565.4862</v>
      </c>
      <c r="I88" s="201">
        <f t="shared" si="3"/>
        <v>565.4862</v>
      </c>
    </row>
    <row r="89" spans="1:9" ht="14.25">
      <c r="A89" s="157" t="s">
        <v>268</v>
      </c>
      <c r="B89" s="145">
        <f aca="true" t="shared" si="4" ref="B89:I89">B88/B81</f>
        <v>1.0214961019053004</v>
      </c>
      <c r="C89" s="145">
        <f t="shared" si="4"/>
        <v>1.0168604570610664</v>
      </c>
      <c r="D89" s="145">
        <f t="shared" si="4"/>
        <v>1.0545197202797205</v>
      </c>
      <c r="E89" s="145">
        <f t="shared" si="4"/>
        <v>1.0185750629003831</v>
      </c>
      <c r="F89" s="145">
        <f t="shared" si="4"/>
        <v>1.0288745143148434</v>
      </c>
      <c r="G89" s="145">
        <f t="shared" si="4"/>
        <v>1.0545197202797205</v>
      </c>
      <c r="H89" s="145">
        <f t="shared" si="4"/>
        <v>1.0545197202797205</v>
      </c>
      <c r="I89" s="184">
        <f t="shared" si="4"/>
        <v>1.0545197202797205</v>
      </c>
    </row>
    <row r="90" spans="1:9" ht="14.25">
      <c r="A90" s="157" t="s">
        <v>281</v>
      </c>
      <c r="B90" s="202">
        <f>B88/1000/$F$5</f>
        <v>0.006702058666666666</v>
      </c>
      <c r="C90" s="202">
        <f aca="true" t="shared" si="5" ref="C90:I90">C88/1000/$F$5</f>
        <v>0.003479915076923077</v>
      </c>
      <c r="D90" s="202">
        <f t="shared" si="5"/>
        <v>0.0022619448000000004</v>
      </c>
      <c r="E90" s="202">
        <f t="shared" si="5"/>
        <v>0.002827431</v>
      </c>
      <c r="F90" s="202">
        <f t="shared" si="5"/>
        <v>0.004112626909090909</v>
      </c>
      <c r="G90" s="202">
        <f t="shared" si="5"/>
        <v>0.0022619448000000004</v>
      </c>
      <c r="H90" s="202">
        <f t="shared" si="5"/>
        <v>0.0022619448000000004</v>
      </c>
      <c r="I90" s="203">
        <f t="shared" si="5"/>
        <v>0.0022619448000000004</v>
      </c>
    </row>
    <row r="91" spans="1:9" ht="15" thickBot="1">
      <c r="A91" s="204" t="s">
        <v>282</v>
      </c>
      <c r="B91" s="313"/>
      <c r="C91" s="314"/>
      <c r="D91" s="314"/>
      <c r="E91" s="315"/>
      <c r="F91" s="205">
        <f>'选筋（Y向）'!H8</f>
        <v>0.22866030716297944</v>
      </c>
      <c r="G91" s="205">
        <f>'选筋（Y向）'!I8</f>
        <v>0.11824524895270355</v>
      </c>
      <c r="H91" s="205">
        <f>'选筋（Y向）'!J8</f>
        <v>0.09064934281991519</v>
      </c>
      <c r="I91" s="205">
        <f>'选筋（Y向）'!K8</f>
        <v>0.09674611277948472</v>
      </c>
    </row>
    <row r="92" spans="1:9" ht="15" thickTop="1">
      <c r="A92" s="47"/>
      <c r="B92" s="197"/>
      <c r="C92" s="197"/>
      <c r="D92" s="197"/>
      <c r="E92" s="197"/>
      <c r="F92" s="197"/>
      <c r="G92" s="197"/>
      <c r="H92" s="197"/>
      <c r="I92" s="197"/>
    </row>
    <row r="94" spans="1:9" ht="14.25">
      <c r="A94" s="292" t="s">
        <v>244</v>
      </c>
      <c r="B94" s="292"/>
      <c r="C94" s="292"/>
      <c r="D94" s="292"/>
      <c r="E94" s="292"/>
      <c r="F94" s="292"/>
      <c r="G94" s="292"/>
      <c r="H94" s="292"/>
      <c r="I94" s="292"/>
    </row>
    <row r="95" spans="1:9" ht="14.25">
      <c r="A95" s="140" t="s">
        <v>146</v>
      </c>
      <c r="B95" s="141"/>
      <c r="C95" s="141"/>
      <c r="D95" s="141"/>
      <c r="E95" s="141"/>
      <c r="F95" s="142" t="s">
        <v>152</v>
      </c>
      <c r="G95" s="142" t="s">
        <v>151</v>
      </c>
      <c r="H95" s="142" t="s">
        <v>165</v>
      </c>
      <c r="I95" s="141" t="s">
        <v>160</v>
      </c>
    </row>
    <row r="96" spans="1:9" ht="14.25">
      <c r="A96" s="140" t="s">
        <v>150</v>
      </c>
      <c r="B96" s="141" t="s">
        <v>246</v>
      </c>
      <c r="C96" s="141"/>
      <c r="D96" s="141"/>
      <c r="E96" s="141"/>
      <c r="F96" s="141" t="str">
        <f>"d"&amp;F85&amp;"@"&amp;2*F86</f>
        <v>d12@220</v>
      </c>
      <c r="G96" s="266"/>
      <c r="H96" s="141">
        <f>F81/2</f>
        <v>499.6511785294856</v>
      </c>
      <c r="I96" s="141">
        <f>H96*0.00785*G96/1000</f>
        <v>0</v>
      </c>
    </row>
    <row r="97" spans="1:9" ht="14.25">
      <c r="A97" s="140" t="s">
        <v>150</v>
      </c>
      <c r="B97" s="141" t="s">
        <v>247</v>
      </c>
      <c r="C97" s="141"/>
      <c r="D97" s="141"/>
      <c r="E97" s="141"/>
      <c r="F97" s="141" t="str">
        <f>"d"&amp;F85&amp;"@"&amp;2*F86</f>
        <v>d12@220</v>
      </c>
      <c r="G97" s="139">
        <f>INT((0.35*E69+I5/3)/10)*10</f>
        <v>1360</v>
      </c>
      <c r="H97" s="141">
        <f>F81/2</f>
        <v>499.6511785294856</v>
      </c>
      <c r="I97" s="141">
        <f>H97*0.00785*G97/1000</f>
        <v>5.334275981980788</v>
      </c>
    </row>
    <row r="98" spans="1:9" ht="14.25">
      <c r="A98" s="140" t="s">
        <v>157</v>
      </c>
      <c r="B98" s="141" t="s">
        <v>246</v>
      </c>
      <c r="C98" s="141"/>
      <c r="D98" s="141"/>
      <c r="E98" s="141"/>
      <c r="F98" s="141" t="str">
        <f>G87</f>
        <v>φ12@200</v>
      </c>
      <c r="G98" s="139">
        <f>B69*1000</f>
        <v>3400</v>
      </c>
      <c r="H98" s="141">
        <f>G81</f>
        <v>536.2499999999999</v>
      </c>
      <c r="I98" s="141">
        <f>H98*0.00785*G98/1000</f>
        <v>14.312512499999995</v>
      </c>
    </row>
    <row r="99" spans="1:9" ht="14.25">
      <c r="A99" s="140" t="s">
        <v>156</v>
      </c>
      <c r="B99" s="141"/>
      <c r="C99" s="141"/>
      <c r="D99" s="141"/>
      <c r="E99" s="141"/>
      <c r="F99" s="142" t="s">
        <v>152</v>
      </c>
      <c r="G99" s="142" t="s">
        <v>151</v>
      </c>
      <c r="H99" s="142" t="s">
        <v>165</v>
      </c>
      <c r="I99" s="141" t="s">
        <v>160</v>
      </c>
    </row>
    <row r="100" spans="1:9" ht="14.25">
      <c r="A100" s="140" t="s">
        <v>155</v>
      </c>
      <c r="B100" s="141" t="s">
        <v>246</v>
      </c>
      <c r="C100" s="141"/>
      <c r="D100" s="141"/>
      <c r="E100" s="141"/>
      <c r="F100" s="141" t="str">
        <f>H87</f>
        <v>φ12@200</v>
      </c>
      <c r="G100" s="139">
        <f>B69*1000</f>
        <v>3400</v>
      </c>
      <c r="H100" s="141">
        <f>H81</f>
        <v>536.2499999999999</v>
      </c>
      <c r="I100" s="141">
        <f>H100*0.00785*G100/1000</f>
        <v>14.312512499999995</v>
      </c>
    </row>
    <row r="101" spans="1:9" ht="14.25">
      <c r="A101" s="140" t="s">
        <v>154</v>
      </c>
      <c r="B101" s="141" t="s">
        <v>246</v>
      </c>
      <c r="C101" s="141"/>
      <c r="D101" s="141"/>
      <c r="E101" s="141"/>
      <c r="F101" s="141" t="str">
        <f>I87</f>
        <v>φ12@200</v>
      </c>
      <c r="G101" s="139">
        <f>B69*1000</f>
        <v>3400</v>
      </c>
      <c r="H101" s="141">
        <f>I81</f>
        <v>536.2499999999999</v>
      </c>
      <c r="I101" s="141">
        <f>H101*0.00785*G101/1000</f>
        <v>14.312512499999995</v>
      </c>
    </row>
    <row r="102" spans="1:9" ht="14.25">
      <c r="A102" s="140"/>
      <c r="B102" s="141"/>
      <c r="C102" s="141"/>
      <c r="D102" s="141"/>
      <c r="E102" s="141"/>
      <c r="F102" s="141"/>
      <c r="G102" s="141"/>
      <c r="H102" s="143" t="s">
        <v>162</v>
      </c>
      <c r="I102" s="141">
        <f>SUM(I96:I101)</f>
        <v>48.27181348198078</v>
      </c>
    </row>
    <row r="103" spans="1:9" ht="14.25">
      <c r="A103" s="140"/>
      <c r="B103" s="141"/>
      <c r="C103" s="141"/>
      <c r="D103" s="141"/>
      <c r="E103" s="141"/>
      <c r="F103" s="141"/>
      <c r="G103" s="141"/>
      <c r="H103" s="143" t="s">
        <v>166</v>
      </c>
      <c r="I103" s="141">
        <f>I102*H69/2</f>
        <v>72.40772022297116</v>
      </c>
    </row>
    <row r="104" ht="14.25">
      <c r="D104" s="268"/>
    </row>
    <row r="111" ht="14.25">
      <c r="K111" s="48" t="s">
        <v>169</v>
      </c>
    </row>
    <row r="112" ht="14.25">
      <c r="K112" s="27">
        <f>D22-D17</f>
        <v>-5.928220194408807</v>
      </c>
    </row>
    <row r="113" ht="14.25">
      <c r="K113" s="48"/>
    </row>
  </sheetData>
  <sheetProtection sheet="1" objects="1" scenarios="1"/>
  <protectedRanges>
    <protectedRange sqref="H1:O2 J6:K6 G10:I12 H6:I7 A1:F12 G1:G7 H3:J5 G8:I8 M5:O5 J7:O12" name="区域1"/>
  </protectedRanges>
  <mergeCells count="23">
    <mergeCell ref="F70:I70"/>
    <mergeCell ref="B55:E55"/>
    <mergeCell ref="H71:I71"/>
    <mergeCell ref="B1:C1"/>
    <mergeCell ref="B2:C2"/>
    <mergeCell ref="B34:E34"/>
    <mergeCell ref="B91:E91"/>
    <mergeCell ref="B74:I74"/>
    <mergeCell ref="D71:E71"/>
    <mergeCell ref="F71:G71"/>
    <mergeCell ref="H35:I35"/>
    <mergeCell ref="B71:C71"/>
    <mergeCell ref="B70:E70"/>
    <mergeCell ref="A94:I94"/>
    <mergeCell ref="A13:G13"/>
    <mergeCell ref="A32:I32"/>
    <mergeCell ref="A58:I58"/>
    <mergeCell ref="A68:I68"/>
    <mergeCell ref="F34:I34"/>
    <mergeCell ref="B35:C35"/>
    <mergeCell ref="B38:I38"/>
    <mergeCell ref="F35:G35"/>
    <mergeCell ref="D35:E35"/>
  </mergeCells>
  <conditionalFormatting sqref="G29:G30 C29">
    <cfRule type="cellIs" priority="1" dxfId="4" operator="equal" stopIfTrue="1">
      <formula>"1/300"</formula>
    </cfRule>
  </conditionalFormatting>
  <conditionalFormatting sqref="B29:B30 F29:F30 C30">
    <cfRule type="cellIs" priority="2" dxfId="4" operator="greaterThan" stopIfTrue="1">
      <formula>1/300</formula>
    </cfRule>
  </conditionalFormatting>
  <conditionalFormatting sqref="F50:I50">
    <cfRule type="cellIs" priority="3" dxfId="5" operator="greaterThanOrEqual" stopIfTrue="1">
      <formula>250</formula>
    </cfRule>
  </conditionalFormatting>
  <dataValidations count="1">
    <dataValidation type="list" allowBlank="1" showInputMessage="1" showErrorMessage="1" sqref="B7">
      <formula1>"0.1,0.2,0.3"</formula1>
    </dataValidation>
  </dataValidations>
  <printOptions/>
  <pageMargins left="0.75" right="0.75" top="1" bottom="1" header="0.5" footer="0.5"/>
  <pageSetup fitToHeight="1" fitToWidth="1" horizontalDpi="600" verticalDpi="600" orientation="portrait" paperSize="8" scale="6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10.875" style="0" customWidth="1"/>
    <col min="6" max="6" width="6.375" style="0" customWidth="1"/>
  </cols>
  <sheetData>
    <row r="1" spans="1:11" ht="15" thickTop="1">
      <c r="A1" s="323" t="s">
        <v>404</v>
      </c>
      <c r="B1" s="324"/>
      <c r="C1" s="324"/>
      <c r="D1" s="324"/>
      <c r="E1" s="325"/>
      <c r="G1" s="323" t="s">
        <v>279</v>
      </c>
      <c r="H1" s="324"/>
      <c r="I1" s="324"/>
      <c r="J1" s="324"/>
      <c r="K1" s="325"/>
    </row>
    <row r="2" spans="1:11" ht="14.25">
      <c r="A2" s="320"/>
      <c r="B2" s="318" t="s">
        <v>91</v>
      </c>
      <c r="C2" s="322"/>
      <c r="D2" s="318" t="s">
        <v>92</v>
      </c>
      <c r="E2" s="319"/>
      <c r="G2" s="320"/>
      <c r="H2" s="328" t="s">
        <v>91</v>
      </c>
      <c r="I2" s="328"/>
      <c r="J2" s="328" t="s">
        <v>92</v>
      </c>
      <c r="K2" s="329"/>
    </row>
    <row r="3" spans="1:11" ht="14.25">
      <c r="A3" s="321"/>
      <c r="B3" s="34" t="s">
        <v>80</v>
      </c>
      <c r="C3" s="18" t="s">
        <v>81</v>
      </c>
      <c r="D3" s="18" t="s">
        <v>80</v>
      </c>
      <c r="E3" s="282" t="s">
        <v>81</v>
      </c>
      <c r="G3" s="321"/>
      <c r="H3" s="92" t="s">
        <v>54</v>
      </c>
      <c r="I3" s="92" t="s">
        <v>57</v>
      </c>
      <c r="J3" s="92" t="s">
        <v>54</v>
      </c>
      <c r="K3" s="191" t="s">
        <v>57</v>
      </c>
    </row>
    <row r="4" spans="1:11" ht="14.25">
      <c r="A4" s="278" t="s">
        <v>388</v>
      </c>
      <c r="B4" s="182">
        <f>'选筋计算（X向）'!F3</f>
        <v>12</v>
      </c>
      <c r="C4" s="182">
        <f>'选筋计算（X向）'!G3</f>
        <v>12</v>
      </c>
      <c r="D4" s="182">
        <f>'选筋计算（X向）'!H3</f>
        <v>12</v>
      </c>
      <c r="E4" s="185">
        <f>'选筋计算（X向）'!I3</f>
        <v>12</v>
      </c>
      <c r="G4" s="280" t="s">
        <v>394</v>
      </c>
      <c r="H4" s="192">
        <f>'总参数页'!F52/(0.5*1000*'X向计算'!$F$3)</f>
        <v>0.0060318528</v>
      </c>
      <c r="I4" s="192">
        <f>'总参数页'!G52/(0.5*1000*'X向计算'!$F$3)</f>
        <v>0.004523889600000001</v>
      </c>
      <c r="J4" s="192">
        <f>'总参数页'!H52/(0.5*1000*'X向计算'!$F$3)</f>
        <v>0.004523889600000001</v>
      </c>
      <c r="K4" s="193">
        <f>'总参数页'!I52/(0.5*1000*'X向计算'!$F$3)</f>
        <v>0.004523889600000001</v>
      </c>
    </row>
    <row r="5" spans="1:11" ht="14.25">
      <c r="A5" s="278" t="s">
        <v>389</v>
      </c>
      <c r="B5" s="182">
        <f>'选筋计算（X向）'!F4</f>
        <v>150</v>
      </c>
      <c r="C5" s="182">
        <f>'选筋计算（X向）'!G4</f>
        <v>200</v>
      </c>
      <c r="D5" s="182">
        <f>'选筋计算（X向）'!H4</f>
        <v>200</v>
      </c>
      <c r="E5" s="185">
        <f>'选筋计算（X向）'!I4</f>
        <v>200</v>
      </c>
      <c r="G5" s="280" t="s">
        <v>395</v>
      </c>
      <c r="H5" s="194">
        <f>'总参数页'!F49</f>
        <v>12</v>
      </c>
      <c r="I5" s="194">
        <f>'总参数页'!G49</f>
        <v>12</v>
      </c>
      <c r="J5" s="194">
        <f>'总参数页'!H49</f>
        <v>12</v>
      </c>
      <c r="K5" s="195">
        <f>'总参数页'!I49</f>
        <v>12</v>
      </c>
    </row>
    <row r="6" spans="1:11" ht="14.25">
      <c r="A6" s="278" t="s">
        <v>390</v>
      </c>
      <c r="B6" s="183" t="str">
        <f>'选筋计算（X向）'!F5</f>
        <v>φ12@150</v>
      </c>
      <c r="C6" s="183" t="str">
        <f>'选筋计算（X向）'!G5</f>
        <v>φ12@200</v>
      </c>
      <c r="D6" s="183" t="str">
        <f>'选筋计算（X向）'!H5</f>
        <v>φ12@200</v>
      </c>
      <c r="E6" s="186" t="str">
        <f>'选筋计算（X向）'!I5</f>
        <v>φ12@200</v>
      </c>
      <c r="G6" s="280" t="s">
        <v>396</v>
      </c>
      <c r="H6" s="95">
        <f>'X向计算'!F90*1000000/(0.87*'X向计算'!F92*'总参数页'!F52)</f>
        <v>249.51131325437646</v>
      </c>
      <c r="I6" s="95">
        <f>'X向计算'!G90*1000000/(0.87*'X向计算'!G92*'总参数页'!G52)</f>
        <v>144.65277315120983</v>
      </c>
      <c r="J6" s="95">
        <f>'X向计算'!H90*1000000/(0.87*'X向计算'!H92*'总参数页'!H52)</f>
        <v>110.89391700194508</v>
      </c>
      <c r="K6" s="196">
        <f>'X向计算'!I90*1000000/(0.87*'X向计算'!I92*'总参数页'!I52)</f>
        <v>118.35226894189891</v>
      </c>
    </row>
    <row r="7" spans="1:11" ht="14.25">
      <c r="A7" s="278" t="s">
        <v>391</v>
      </c>
      <c r="B7" s="139">
        <f>'选筋计算（X向）'!F6</f>
        <v>753.9816000000001</v>
      </c>
      <c r="C7" s="139">
        <f>'选筋计算（X向）'!G6</f>
        <v>565.4862</v>
      </c>
      <c r="D7" s="139">
        <f>'选筋计算（X向）'!H6</f>
        <v>565.4862</v>
      </c>
      <c r="E7" s="187">
        <f>'选筋计算（X向）'!I6</f>
        <v>565.4862</v>
      </c>
      <c r="G7" s="280" t="s">
        <v>397</v>
      </c>
      <c r="H7" s="95">
        <f>IF(1.1-0.65*'X向计算'!$S$6/H4/H6&lt;0.2,0.2,IF(1.1-0.65*'X向计算'!$S$6/H4/H6&gt;1,1,1.1-0.65*'X向计算'!$S$6/H4/H6))</f>
        <v>0.2319026360235953</v>
      </c>
      <c r="I7" s="95">
        <f>IF(1.1-0.65*'X向计算'!$S$6/I4/I6&lt;0.2,0.2,IF(1.1-0.65*'X向计算'!$S$6/I4/I6&gt;1,1,1.1-0.65*'X向计算'!$S$6/I4/I6))</f>
        <v>0.2</v>
      </c>
      <c r="J7" s="95">
        <f>IF(1.1-0.65*'X向计算'!$S$6/J4/J6&lt;0.2,0.2,IF(1.1-0.65*'X向计算'!$S$6/J4/J6&gt;1,1,1.1-0.65*'X向计算'!$S$6/J4/J6))</f>
        <v>0.2</v>
      </c>
      <c r="K7" s="196">
        <f>IF(1.1-0.65*'X向计算'!$S$6/K4/K6&lt;0.2,0.2,IF(1.1-0.65*'X向计算'!$S$6/K4/K6&gt;1,1,1.1-0.65*'X向计算'!$S$6/K4/K6))</f>
        <v>0.2</v>
      </c>
    </row>
    <row r="8" spans="1:11" ht="15" thickBot="1">
      <c r="A8" s="278" t="s">
        <v>392</v>
      </c>
      <c r="B8" s="145">
        <f>'选筋计算（X向）'!F7</f>
        <v>1.0339734979364248</v>
      </c>
      <c r="C8" s="145">
        <f>'选筋计算（X向）'!G7</f>
        <v>1.0545197202797205</v>
      </c>
      <c r="D8" s="145">
        <f>'选筋计算（X向）'!H7</f>
        <v>1.0545197202797205</v>
      </c>
      <c r="E8" s="188">
        <f>'选筋计算（X向）'!I7</f>
        <v>1.0545197202797205</v>
      </c>
      <c r="G8" s="281" t="s">
        <v>398</v>
      </c>
      <c r="H8" s="206">
        <f>2.1*H7*H6/Es*(1.9*'X向计算'!$K$2+0.08*H5/H4)</f>
        <v>0.14286952043194942</v>
      </c>
      <c r="I8" s="206">
        <f>2.1*I7*I6/Es*(1.9*'X向计算'!$K$2+0.08*I5/I4)</f>
        <v>0.08754880790494927</v>
      </c>
      <c r="J8" s="206">
        <f>2.1*J7*J6/Es*(1.9*'X向计算'!$K$2+0.08*J5/J4)</f>
        <v>0.06711679303432337</v>
      </c>
      <c r="K8" s="207">
        <f>2.1*K7*K6/Es*(1.9*'X向计算'!$K$2+0.08*K5/K4)</f>
        <v>0.07163084283132211</v>
      </c>
    </row>
    <row r="9" spans="1:11" ht="15.75" thickBot="1" thickTop="1">
      <c r="A9" s="279" t="s">
        <v>393</v>
      </c>
      <c r="B9" s="189">
        <f>B7/1000/'X向计算'!$F$3</f>
        <v>0.0030159264</v>
      </c>
      <c r="C9" s="189">
        <f>C7/1000/'X向计算'!$F$3</f>
        <v>0.0022619448000000004</v>
      </c>
      <c r="D9" s="189">
        <f>D7/1000/'X向计算'!$F$3</f>
        <v>0.0022619448000000004</v>
      </c>
      <c r="E9" s="190">
        <f>E7/1000/'X向计算'!$F$3</f>
        <v>0.0022619448000000004</v>
      </c>
      <c r="H9" s="181"/>
      <c r="I9" s="181"/>
      <c r="J9" s="181"/>
      <c r="K9" s="181"/>
    </row>
    <row r="10" spans="2:5" ht="15.75" thickBot="1" thickTop="1">
      <c r="B10" s="276">
        <f>IF('计算书(自选)'!E98="不满足！","手选","")</f>
      </c>
      <c r="C10" s="276">
        <f>IF('计算书(自选)'!E110="不满足！","手选","")</f>
      </c>
      <c r="D10" s="276">
        <f>IF('计算书(自选)'!E122="不满足！","手选","")</f>
      </c>
      <c r="E10" s="276">
        <f>IF('计算书(自选)'!E134="不满足！","手选","")</f>
      </c>
    </row>
    <row r="11" spans="1:11" ht="15" thickTop="1">
      <c r="A11" s="323" t="s">
        <v>403</v>
      </c>
      <c r="B11" s="324"/>
      <c r="C11" s="324"/>
      <c r="D11" s="324"/>
      <c r="E11" s="325"/>
      <c r="G11" s="323" t="s">
        <v>280</v>
      </c>
      <c r="H11" s="324"/>
      <c r="I11" s="324"/>
      <c r="J11" s="324"/>
      <c r="K11" s="325"/>
    </row>
    <row r="12" spans="1:11" ht="14.25">
      <c r="A12" s="320"/>
      <c r="B12" s="318" t="s">
        <v>91</v>
      </c>
      <c r="C12" s="322"/>
      <c r="D12" s="318" t="s">
        <v>92</v>
      </c>
      <c r="E12" s="319"/>
      <c r="G12" s="326"/>
      <c r="H12" s="318" t="s">
        <v>91</v>
      </c>
      <c r="I12" s="322"/>
      <c r="J12" s="318" t="s">
        <v>92</v>
      </c>
      <c r="K12" s="319"/>
    </row>
    <row r="13" spans="1:11" ht="14.25">
      <c r="A13" s="321"/>
      <c r="B13" s="34" t="s">
        <v>80</v>
      </c>
      <c r="C13" s="18" t="s">
        <v>81</v>
      </c>
      <c r="D13" s="18" t="s">
        <v>80</v>
      </c>
      <c r="E13" s="282" t="s">
        <v>81</v>
      </c>
      <c r="G13" s="327"/>
      <c r="H13" s="92" t="s">
        <v>54</v>
      </c>
      <c r="I13" s="92" t="s">
        <v>57</v>
      </c>
      <c r="J13" s="92" t="s">
        <v>54</v>
      </c>
      <c r="K13" s="191" t="s">
        <v>57</v>
      </c>
    </row>
    <row r="14" spans="1:11" ht="14.25">
      <c r="A14" s="278" t="s">
        <v>388</v>
      </c>
      <c r="B14" s="182">
        <v>12</v>
      </c>
      <c r="C14" s="182">
        <v>12</v>
      </c>
      <c r="D14" s="182">
        <v>12</v>
      </c>
      <c r="E14" s="185">
        <v>12</v>
      </c>
      <c r="G14" s="280" t="s">
        <v>399</v>
      </c>
      <c r="H14" s="192">
        <f>B17/(0.5*1000*'X向计算'!$F$3)</f>
        <v>0.009047779200000002</v>
      </c>
      <c r="I14" s="192">
        <f>C17/(0.5*1000*'X向计算'!$F$3)</f>
        <v>0.006959830153846154</v>
      </c>
      <c r="J14" s="192">
        <f>D17/(0.5*1000*'X向计算'!$F$3)</f>
        <v>0.004523889600000001</v>
      </c>
      <c r="K14" s="193">
        <f>E17/(0.5*1000*'X向计算'!$F$3)</f>
        <v>0.005654862</v>
      </c>
    </row>
    <row r="15" spans="1:11" ht="14.25">
      <c r="A15" s="278" t="s">
        <v>389</v>
      </c>
      <c r="B15" s="182">
        <v>100</v>
      </c>
      <c r="C15" s="182">
        <v>130</v>
      </c>
      <c r="D15" s="182">
        <v>200</v>
      </c>
      <c r="E15" s="185">
        <v>160</v>
      </c>
      <c r="G15" s="280" t="s">
        <v>400</v>
      </c>
      <c r="H15" s="194">
        <f>B14</f>
        <v>12</v>
      </c>
      <c r="I15" s="194">
        <f>C14</f>
        <v>12</v>
      </c>
      <c r="J15" s="194">
        <f>D14</f>
        <v>12</v>
      </c>
      <c r="K15" s="195">
        <f>E14</f>
        <v>12</v>
      </c>
    </row>
    <row r="16" spans="1:11" ht="14.25">
      <c r="A16" s="278" t="s">
        <v>390</v>
      </c>
      <c r="B16" s="183" t="str">
        <f>"φ"&amp;B14&amp;"@"&amp;B15</f>
        <v>φ12@100</v>
      </c>
      <c r="C16" s="183" t="str">
        <f>"φ"&amp;C14&amp;"@"&amp;C15</f>
        <v>φ12@130</v>
      </c>
      <c r="D16" s="183" t="str">
        <f>"φ"&amp;D14&amp;"@"&amp;D15</f>
        <v>φ12@200</v>
      </c>
      <c r="E16" s="186" t="str">
        <f>"φ"&amp;E14&amp;"@"&amp;E15</f>
        <v>φ12@160</v>
      </c>
      <c r="G16" s="280" t="s">
        <v>401</v>
      </c>
      <c r="H16" s="95">
        <f>'X向计算'!F$90*1000000/(0.87*'X向计算'!F$92*B17)</f>
        <v>166.34087550291764</v>
      </c>
      <c r="I16" s="95">
        <f>'X向计算'!G$90*1000000/(0.87*'X向计算'!G$92*C17)</f>
        <v>94.02430254828639</v>
      </c>
      <c r="J16" s="95">
        <f>'X向计算'!H$90*1000000/(0.87*'X向计算'!H$92*D17)</f>
        <v>110.89391700194508</v>
      </c>
      <c r="K16" s="196">
        <f>'X向计算'!I$90*1000000/(0.87*'X向计算'!I$92*E17)</f>
        <v>94.68181515351914</v>
      </c>
    </row>
    <row r="17" spans="1:11" ht="14.25">
      <c r="A17" s="278" t="s">
        <v>391</v>
      </c>
      <c r="B17" s="139">
        <f>3.14159*B14^2/4*1000/B15</f>
        <v>1130.9724</v>
      </c>
      <c r="C17" s="139">
        <f>3.14159*C14^2/4*1000/C15</f>
        <v>869.9787692307692</v>
      </c>
      <c r="D17" s="139">
        <f>3.14159*D14^2/4*1000/D15</f>
        <v>565.4862</v>
      </c>
      <c r="E17" s="187">
        <f>3.14159*E14^2/4*1000/E15</f>
        <v>706.85775</v>
      </c>
      <c r="G17" s="280" t="s">
        <v>402</v>
      </c>
      <c r="H17" s="95">
        <f>IF(1.1-0.65*'X向计算'!$S$6/H14/H16&lt;0.2,0.2,IF(1.1-0.65*'X向计算'!$S$6/H14/H16&gt;1,1,1.1-0.65*'X向计算'!$S$6/H14/H16))</f>
        <v>0.2319026360235955</v>
      </c>
      <c r="I17" s="95">
        <f>IF(1.1-0.65*'X向计算'!$S$6/I14/I16&lt;0.2,0.2,IF(1.1-0.65*'X向计算'!$S$6/I14/I16&gt;1,1,1.1-0.65*'X向计算'!$S$6/I14/I16))</f>
        <v>0.2</v>
      </c>
      <c r="J17" s="95">
        <f>IF(1.1-0.65*'X向计算'!$S$6/J14/J16&lt;0.2,0.2,IF(1.1-0.65*'X向计算'!$S$6/J14/J16&gt;1,1,1.1-0.65*'X向计算'!$S$6/J14/J16))</f>
        <v>0.2</v>
      </c>
      <c r="K17" s="196">
        <f>IF(1.1-0.65*'X向计算'!$S$6/K14/K16&lt;0.2,0.2,IF(1.1-0.65*'X向计算'!$S$6/K14/K16&gt;1,1,1.1-0.65*'X向计算'!$S$6/K14/K16))</f>
        <v>0.2</v>
      </c>
    </row>
    <row r="18" spans="1:12" ht="15" thickBot="1">
      <c r="A18" s="278" t="s">
        <v>392</v>
      </c>
      <c r="B18" s="145">
        <v>1.1</v>
      </c>
      <c r="C18" s="145">
        <f>C17/'总参数页'!G45</f>
        <v>1.6223380311995699</v>
      </c>
      <c r="D18" s="145">
        <f>D17/'总参数页'!H45</f>
        <v>1.0545197202797205</v>
      </c>
      <c r="E18" s="188">
        <f>E17/'总参数页'!I45</f>
        <v>1.3181496503496506</v>
      </c>
      <c r="G18" s="281" t="s">
        <v>319</v>
      </c>
      <c r="H18" s="206">
        <f>2.1*H17*H16/Es*(1.9*'X向计算'!$K$2+0.08*H15/H14)</f>
        <v>0.07375848471344344</v>
      </c>
      <c r="I18" s="206">
        <f>2.1*I17*I16/Es*(1.9*'X向计算'!$K$2+0.08*I15/I14)</f>
        <v>0.042241568880188346</v>
      </c>
      <c r="J18" s="206">
        <f>2.1*J17*J16/Es*(1.9*'X向计算'!$K$2+0.08*J15/J14)</f>
        <v>0.06711679303432337</v>
      </c>
      <c r="K18" s="207">
        <f>2.1*K17*K16/Es*(1.9*'X向计算'!$K$2+0.08*K15/K14)</f>
        <v>0.04886598295174649</v>
      </c>
      <c r="L18" s="46"/>
    </row>
    <row r="19" spans="1:5" ht="15.75" thickBot="1" thickTop="1">
      <c r="A19" s="279" t="s">
        <v>393</v>
      </c>
      <c r="B19" s="189">
        <f>B17/1000/'X向计算'!$F$3</f>
        <v>0.004523889600000001</v>
      </c>
      <c r="C19" s="189">
        <f>C17/1000/'X向计算'!$F$3</f>
        <v>0.003479915076923077</v>
      </c>
      <c r="D19" s="189">
        <f>D17/1000/'X向计算'!$F$3</f>
        <v>0.0022619448000000004</v>
      </c>
      <c r="E19" s="190">
        <f>E17/1000/'X向计算'!$F$3</f>
        <v>0.002827431</v>
      </c>
    </row>
    <row r="20" spans="2:5" ht="15" thickTop="1">
      <c r="B20" s="276">
        <f>IF('计算书(手选)'!E98="不满足！","不足","")</f>
      </c>
      <c r="C20" s="276">
        <f>IF('计算书(手选)'!E110="不满足！","不足","")</f>
      </c>
      <c r="D20" s="276">
        <f>IF('计算书(手选)'!E122="不满足！","不足","")</f>
      </c>
      <c r="E20" s="276">
        <f>IF('计算书(手选)'!E134="不满足！","不足","")</f>
      </c>
    </row>
  </sheetData>
  <sheetProtection/>
  <protectedRanges>
    <protectedRange sqref="A11 B22:E22 G11:K18 C11:F11 B12:F12 B2:F2 B14:F19" name="区域1"/>
  </protectedRanges>
  <mergeCells count="16">
    <mergeCell ref="A1:E1"/>
    <mergeCell ref="G1:K1"/>
    <mergeCell ref="G12:G13"/>
    <mergeCell ref="G2:G3"/>
    <mergeCell ref="G11:K11"/>
    <mergeCell ref="H2:I2"/>
    <mergeCell ref="J2:K2"/>
    <mergeCell ref="H12:I12"/>
    <mergeCell ref="A11:E11"/>
    <mergeCell ref="B12:C12"/>
    <mergeCell ref="D12:E12"/>
    <mergeCell ref="J12:K12"/>
    <mergeCell ref="D2:E2"/>
    <mergeCell ref="A12:A13"/>
    <mergeCell ref="A2:A3"/>
    <mergeCell ref="B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N20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10.875" style="0" customWidth="1"/>
    <col min="6" max="6" width="6.375" style="0" customWidth="1"/>
  </cols>
  <sheetData>
    <row r="1" spans="1:14" ht="15" thickTop="1">
      <c r="A1" s="323" t="s">
        <v>404</v>
      </c>
      <c r="B1" s="324"/>
      <c r="C1" s="324"/>
      <c r="D1" s="324"/>
      <c r="E1" s="325"/>
      <c r="G1" s="323" t="s">
        <v>279</v>
      </c>
      <c r="H1" s="324"/>
      <c r="I1" s="324"/>
      <c r="J1" s="324"/>
      <c r="K1" s="325"/>
      <c r="L1" s="46"/>
      <c r="M1" s="46"/>
      <c r="N1" s="46"/>
    </row>
    <row r="2" spans="1:14" ht="14.25">
      <c r="A2" s="330"/>
      <c r="B2" s="318" t="s">
        <v>91</v>
      </c>
      <c r="C2" s="322"/>
      <c r="D2" s="318" t="s">
        <v>92</v>
      </c>
      <c r="E2" s="319"/>
      <c r="G2" s="320"/>
      <c r="H2" s="328" t="s">
        <v>91</v>
      </c>
      <c r="I2" s="328"/>
      <c r="J2" s="328" t="s">
        <v>92</v>
      </c>
      <c r="K2" s="329"/>
      <c r="L2" s="1"/>
      <c r="M2" s="1"/>
      <c r="N2" s="1"/>
    </row>
    <row r="3" spans="1:14" ht="14.25">
      <c r="A3" s="331"/>
      <c r="B3" s="34" t="s">
        <v>80</v>
      </c>
      <c r="C3" s="18" t="s">
        <v>81</v>
      </c>
      <c r="D3" s="18" t="s">
        <v>80</v>
      </c>
      <c r="E3" s="282" t="s">
        <v>81</v>
      </c>
      <c r="G3" s="321"/>
      <c r="H3" s="92" t="s">
        <v>54</v>
      </c>
      <c r="I3" s="92" t="s">
        <v>57</v>
      </c>
      <c r="J3" s="92" t="s">
        <v>54</v>
      </c>
      <c r="K3" s="191" t="s">
        <v>57</v>
      </c>
      <c r="L3" s="2"/>
      <c r="M3" s="2"/>
      <c r="N3" s="2"/>
    </row>
    <row r="4" spans="1:14" ht="14.25">
      <c r="A4" s="278" t="s">
        <v>388</v>
      </c>
      <c r="B4" s="182">
        <f>'选筋计算（Y向）'!F3</f>
        <v>12</v>
      </c>
      <c r="C4" s="182">
        <f>'选筋计算（Y向）'!G3</f>
        <v>12</v>
      </c>
      <c r="D4" s="182">
        <f>'选筋计算（Y向）'!H3</f>
        <v>12</v>
      </c>
      <c r="E4" s="185">
        <f>'选筋计算（Y向）'!I3</f>
        <v>12</v>
      </c>
      <c r="G4" s="245" t="s">
        <v>205</v>
      </c>
      <c r="H4" s="192">
        <f>'总参数页'!F$88/(0.5*1000*'X向计算'!$F$3)</f>
        <v>0.008225253818181818</v>
      </c>
      <c r="I4" s="192">
        <f>'总参数页'!G$88/(0.5*1000*'X向计算'!$F$3)</f>
        <v>0.004523889600000001</v>
      </c>
      <c r="J4" s="192">
        <f>'总参数页'!H$88/(0.5*1000*'X向计算'!$F$3)</f>
        <v>0.004523889600000001</v>
      </c>
      <c r="K4" s="193">
        <f>'总参数页'!I$88/(0.5*1000*'X向计算'!$F$3)</f>
        <v>0.004523889600000001</v>
      </c>
      <c r="L4" s="176"/>
      <c r="M4" s="176"/>
      <c r="N4" s="176"/>
    </row>
    <row r="5" spans="1:14" ht="14.25">
      <c r="A5" s="278" t="s">
        <v>389</v>
      </c>
      <c r="B5" s="182">
        <f>'选筋计算（Y向）'!F4</f>
        <v>110</v>
      </c>
      <c r="C5" s="182">
        <f>'选筋计算（Y向）'!G4</f>
        <v>200</v>
      </c>
      <c r="D5" s="182">
        <f>'选筋计算（Y向）'!H4</f>
        <v>200</v>
      </c>
      <c r="E5" s="185">
        <f>'选筋计算（Y向）'!I4</f>
        <v>200</v>
      </c>
      <c r="G5" s="246" t="s">
        <v>278</v>
      </c>
      <c r="H5" s="194">
        <f>'总参数页'!F$85</f>
        <v>12</v>
      </c>
      <c r="I5" s="194">
        <f>'总参数页'!G$85</f>
        <v>12</v>
      </c>
      <c r="J5" s="194">
        <f>'总参数页'!H$85</f>
        <v>12</v>
      </c>
      <c r="K5" s="195">
        <f>'总参数页'!I$85</f>
        <v>12</v>
      </c>
      <c r="L5" s="177"/>
      <c r="M5" s="177"/>
      <c r="N5" s="177"/>
    </row>
    <row r="6" spans="1:14" ht="14.25">
      <c r="A6" s="278" t="s">
        <v>390</v>
      </c>
      <c r="B6" s="183" t="str">
        <f>'选筋计算（Y向）'!F5</f>
        <v>φ12@110</v>
      </c>
      <c r="C6" s="183" t="str">
        <f>'选筋计算（Y向）'!G5</f>
        <v>φ12@200</v>
      </c>
      <c r="D6" s="183" t="str">
        <f>'选筋计算（Y向）'!H5</f>
        <v>φ12@200</v>
      </c>
      <c r="E6" s="186" t="str">
        <f>'选筋计算（Y向）'!I5</f>
        <v>φ12@200</v>
      </c>
      <c r="G6" s="245" t="s">
        <v>206</v>
      </c>
      <c r="H6" s="95">
        <f>'Y向计算'!F$90*1000000/(0.87*'Y向计算'!F$92*'总参数页'!F$88)</f>
        <v>247.12980765915572</v>
      </c>
      <c r="I6" s="95">
        <f>'Y向计算'!G$90*1000000/(0.87*'Y向计算'!G$92*'总参数页'!G$88)</f>
        <v>195.37105738245938</v>
      </c>
      <c r="J6" s="95">
        <f>'Y向计算'!H$90*1000000/(0.87*'Y向计算'!H$92*'总参数页'!H$88)</f>
        <v>149.7756410055489</v>
      </c>
      <c r="K6" s="196">
        <f>'Y向计算'!I$90*1000000/(0.87*'Y向计算'!I$92*'总参数页'!I$88)</f>
        <v>159.84904694928494</v>
      </c>
      <c r="L6" s="14"/>
      <c r="M6" s="14"/>
      <c r="N6" s="14"/>
    </row>
    <row r="7" spans="1:14" ht="14.25">
      <c r="A7" s="278" t="s">
        <v>391</v>
      </c>
      <c r="B7" s="139">
        <f>'选筋计算（Y向）'!F6</f>
        <v>1028.1567272727273</v>
      </c>
      <c r="C7" s="139">
        <f>'选筋计算（Y向）'!G6</f>
        <v>565.4862</v>
      </c>
      <c r="D7" s="139">
        <f>'选筋计算（Y向）'!H6</f>
        <v>565.4862</v>
      </c>
      <c r="E7" s="187">
        <f>'选筋计算（Y向）'!I6</f>
        <v>565.4862</v>
      </c>
      <c r="G7" s="245" t="s">
        <v>207</v>
      </c>
      <c r="H7" s="95">
        <f>IF(1.1-0.65*'Y向计算'!$S$6/H4/H6&lt;0.2,0.2,IF(1.1-0.65*'Y向计算'!$S$6/H4/H6&gt;1,1,1.1-0.65*'Y向计算'!$S$6/H4/H6))</f>
        <v>0.4572605239136299</v>
      </c>
      <c r="I7" s="95">
        <f>IF(1.1-0.65*'Y向计算'!$S$6/I4/I6&lt;0.2,0.2,IF(1.1-0.65*'Y向计算'!$S$6/I4/I6&gt;1,1,1.1-0.65*'Y向计算'!$S$6/I4/I6))</f>
        <v>0.2</v>
      </c>
      <c r="J7" s="95">
        <f>IF(1.1-0.65*'Y向计算'!$S$6/J4/J6&lt;0.2,0.2,IF(1.1-0.65*'Y向计算'!$S$6/J4/J6&gt;1,1,1.1-0.65*'Y向计算'!$S$6/J4/J6))</f>
        <v>0.2</v>
      </c>
      <c r="K7" s="196">
        <f>IF(1.1-0.65*'Y向计算'!$S$6/K4/K6&lt;0.2,0.2,IF(1.1-0.65*'Y向计算'!$S$6/K4/K6&gt;1,1,1.1-0.65*'Y向计算'!$S$6/K4/K6))</f>
        <v>0.2</v>
      </c>
      <c r="L7" s="14"/>
      <c r="M7" s="14"/>
      <c r="N7" s="14"/>
    </row>
    <row r="8" spans="1:14" ht="15" thickBot="1">
      <c r="A8" s="278" t="s">
        <v>392</v>
      </c>
      <c r="B8" s="145">
        <f>'选筋计算（Y向）'!F7</f>
        <v>1.0288745143148434</v>
      </c>
      <c r="C8" s="145">
        <f>'选筋计算（Y向）'!G7</f>
        <v>1.0545197202797205</v>
      </c>
      <c r="D8" s="145">
        <f>'选筋计算（Y向）'!H7</f>
        <v>1.0545197202797205</v>
      </c>
      <c r="E8" s="188">
        <f>'选筋计算（Y向）'!I7</f>
        <v>1.0545197202797205</v>
      </c>
      <c r="G8" s="247" t="s">
        <v>335</v>
      </c>
      <c r="H8" s="206">
        <f>2.1*H7*H6/Es*(1.9*'Y向计算'!$K$2+0.08*H5/H4)</f>
        <v>0.22866030716297944</v>
      </c>
      <c r="I8" s="206">
        <f>2.1*I7*I6/Es*(1.9*'Y向计算'!$K$2+0.08*I5/I4)</f>
        <v>0.11824524895270355</v>
      </c>
      <c r="J8" s="206">
        <f>2.1*J7*J6/Es*(1.9*'Y向计算'!$K$2+0.08*J5/J4)</f>
        <v>0.09064934281991519</v>
      </c>
      <c r="K8" s="207">
        <f>2.1*K7*K6/Es*(1.9*'Y向计算'!$K$2+0.08*K5/K4)</f>
        <v>0.09674611277948472</v>
      </c>
      <c r="L8" s="14"/>
      <c r="M8" s="14"/>
      <c r="N8" s="14"/>
    </row>
    <row r="9" spans="1:11" ht="15.75" thickBot="1" thickTop="1">
      <c r="A9" s="279" t="s">
        <v>393</v>
      </c>
      <c r="B9" s="189">
        <f>B7/1000/'Y向计算'!$F$3</f>
        <v>0.004112626909090909</v>
      </c>
      <c r="C9" s="189">
        <f>C7/1000/'Y向计算'!$F$3</f>
        <v>0.0022619448000000004</v>
      </c>
      <c r="D9" s="189">
        <f>D7/1000/'Y向计算'!$F$3</f>
        <v>0.0022619448000000004</v>
      </c>
      <c r="E9" s="190">
        <f>E7/1000/'Y向计算'!$F$3</f>
        <v>0.0022619448000000004</v>
      </c>
      <c r="H9" s="181"/>
      <c r="I9" s="181"/>
      <c r="J9" s="181"/>
      <c r="K9" s="181"/>
    </row>
    <row r="10" spans="2:5" ht="15.75" thickBot="1" thickTop="1">
      <c r="B10" s="276">
        <f>IF('计算书(自选)'!E188="不满足！","手选","")</f>
      </c>
      <c r="C10" s="276">
        <f>IF('计算书(自选)'!E200="不满足！","手选","")</f>
      </c>
      <c r="D10" s="276">
        <f>IF('计算书(自选)'!E212="不满足！","手选","")</f>
      </c>
      <c r="E10" s="276">
        <f>IF('计算书(自选)'!E224="不满足！","手选","")</f>
      </c>
    </row>
    <row r="11" spans="1:11" ht="15" thickTop="1">
      <c r="A11" s="323" t="s">
        <v>408</v>
      </c>
      <c r="B11" s="324"/>
      <c r="C11" s="324"/>
      <c r="D11" s="324"/>
      <c r="E11" s="325"/>
      <c r="G11" s="323" t="s">
        <v>280</v>
      </c>
      <c r="H11" s="324"/>
      <c r="I11" s="324"/>
      <c r="J11" s="324"/>
      <c r="K11" s="325"/>
    </row>
    <row r="12" spans="1:11" ht="14.25">
      <c r="A12" s="330"/>
      <c r="B12" s="318" t="s">
        <v>91</v>
      </c>
      <c r="C12" s="322"/>
      <c r="D12" s="318" t="s">
        <v>92</v>
      </c>
      <c r="E12" s="319"/>
      <c r="G12" s="332"/>
      <c r="H12" s="328" t="s">
        <v>91</v>
      </c>
      <c r="I12" s="328"/>
      <c r="J12" s="328" t="s">
        <v>92</v>
      </c>
      <c r="K12" s="329"/>
    </row>
    <row r="13" spans="1:11" ht="14.25">
      <c r="A13" s="331"/>
      <c r="B13" s="34" t="s">
        <v>80</v>
      </c>
      <c r="C13" s="18" t="s">
        <v>81</v>
      </c>
      <c r="D13" s="18" t="s">
        <v>80</v>
      </c>
      <c r="E13" s="282" t="s">
        <v>81</v>
      </c>
      <c r="G13" s="333"/>
      <c r="H13" s="92" t="s">
        <v>54</v>
      </c>
      <c r="I13" s="92" t="s">
        <v>57</v>
      </c>
      <c r="J13" s="92" t="s">
        <v>54</v>
      </c>
      <c r="K13" s="191" t="s">
        <v>57</v>
      </c>
    </row>
    <row r="14" spans="1:11" ht="14.25">
      <c r="A14" s="278" t="s">
        <v>388</v>
      </c>
      <c r="B14" s="182">
        <v>12</v>
      </c>
      <c r="C14" s="182">
        <v>12</v>
      </c>
      <c r="D14" s="182">
        <v>12</v>
      </c>
      <c r="E14" s="185">
        <v>12</v>
      </c>
      <c r="G14" s="245" t="s">
        <v>205</v>
      </c>
      <c r="H14" s="192">
        <f>B17/(0.5*1000*'X向计算'!$F$3)</f>
        <v>0.008225253818181818</v>
      </c>
      <c r="I14" s="192">
        <f>C17/(0.5*1000*'X向计算'!$F$3)</f>
        <v>0.006959830153846154</v>
      </c>
      <c r="J14" s="192">
        <f>D17/(0.5*1000*'X向计算'!$F$3)</f>
        <v>0.004523889600000001</v>
      </c>
      <c r="K14" s="193">
        <f>E17/(0.5*1000*'X向计算'!$F$3)</f>
        <v>0.005654862</v>
      </c>
    </row>
    <row r="15" spans="1:11" ht="14.25">
      <c r="A15" s="278" t="s">
        <v>389</v>
      </c>
      <c r="B15" s="182">
        <v>110</v>
      </c>
      <c r="C15" s="182">
        <v>130</v>
      </c>
      <c r="D15" s="182">
        <v>200</v>
      </c>
      <c r="E15" s="185">
        <v>160</v>
      </c>
      <c r="G15" s="246" t="s">
        <v>278</v>
      </c>
      <c r="H15" s="194">
        <f>B14</f>
        <v>12</v>
      </c>
      <c r="I15" s="194">
        <f>C14</f>
        <v>12</v>
      </c>
      <c r="J15" s="194">
        <f>D14</f>
        <v>12</v>
      </c>
      <c r="K15" s="195">
        <f>E14</f>
        <v>12</v>
      </c>
    </row>
    <row r="16" spans="1:11" ht="14.25">
      <c r="A16" s="278" t="s">
        <v>390</v>
      </c>
      <c r="B16" s="183" t="str">
        <f>"φ"&amp;B14&amp;"@"&amp;B15</f>
        <v>φ12@110</v>
      </c>
      <c r="C16" s="183" t="str">
        <f>"φ"&amp;C14&amp;"@"&amp;C15</f>
        <v>φ12@130</v>
      </c>
      <c r="D16" s="183" t="str">
        <f>"φ"&amp;D14&amp;"@"&amp;D15</f>
        <v>φ12@200</v>
      </c>
      <c r="E16" s="186" t="str">
        <f>"φ"&amp;E14&amp;"@"&amp;E15</f>
        <v>φ12@160</v>
      </c>
      <c r="G16" s="245" t="s">
        <v>206</v>
      </c>
      <c r="H16" s="95">
        <f>'Y向计算'!F$90*1000000/(0.87*'Y向计算'!F$92*B17)</f>
        <v>247.12980765915572</v>
      </c>
      <c r="I16" s="95">
        <f>'Y向计算'!G$90*1000000/(0.87*'Y向计算'!G$92*C17)</f>
        <v>126.9911872985986</v>
      </c>
      <c r="J16" s="95">
        <f>'Y向计算'!H$90*1000000/(0.87*'Y向计算'!H$92*D17)</f>
        <v>149.7756410055489</v>
      </c>
      <c r="K16" s="196">
        <f>'Y向计算'!I$90*1000000/(0.87*'Y向计算'!I$92*E17)</f>
        <v>127.87923755942796</v>
      </c>
    </row>
    <row r="17" spans="1:12" ht="14.25">
      <c r="A17" s="278" t="s">
        <v>391</v>
      </c>
      <c r="B17" s="139">
        <f>3.14159*B14^2/4*1000/B15</f>
        <v>1028.1567272727273</v>
      </c>
      <c r="C17" s="139">
        <f>3.14159*C14^2/4*1000/C15</f>
        <v>869.9787692307692</v>
      </c>
      <c r="D17" s="139">
        <f>3.14159*D14^2/4*1000/D15</f>
        <v>565.4862</v>
      </c>
      <c r="E17" s="187">
        <f>3.14159*E14^2/4*1000/E15</f>
        <v>706.85775</v>
      </c>
      <c r="G17" s="245" t="s">
        <v>207</v>
      </c>
      <c r="H17" s="95">
        <f>IF(1.1-0.65*'Y向计算'!$S$6/H14/H16&lt;0.2,0.2,IF(1.1-0.65*'Y向计算'!$S$6/H14/H16&gt;1,1,1.1-0.65*'Y向计算'!$S$6/H14/H16))</f>
        <v>0.4572605239136299</v>
      </c>
      <c r="I17" s="95">
        <f>IF(1.1-0.65*'Y向计算'!$S$6/I14/I16&lt;0.2,0.2,IF(1.1-0.65*'Y向计算'!$S$6/I14/I16&gt;1,1,1.1-0.65*'Y向计算'!$S$6/I14/I16))</f>
        <v>0.2</v>
      </c>
      <c r="J17" s="95">
        <f>IF(1.1-0.65*'Y向计算'!$S$6/J14/J16&lt;0.2,0.2,IF(1.1-0.65*'Y向计算'!$S$6/J14/J16&gt;1,1,1.1-0.65*'Y向计算'!$S$6/J14/J16))</f>
        <v>0.2</v>
      </c>
      <c r="K17" s="196">
        <f>IF(1.1-0.65*'Y向计算'!$S$6/K14/K16&lt;0.2,0.2,IF(1.1-0.65*'Y向计算'!$S$6/K14/K16&gt;1,1,1.1-0.65*'Y向计算'!$S$6/K14/K16))</f>
        <v>0.2</v>
      </c>
      <c r="L17" s="12"/>
    </row>
    <row r="18" spans="1:12" ht="15" thickBot="1">
      <c r="A18" s="278" t="s">
        <v>392</v>
      </c>
      <c r="B18" s="145">
        <f>B17/'总参数页'!F81</f>
        <v>1.0288745143148434</v>
      </c>
      <c r="C18" s="145">
        <f>C17/'总参数页'!G81</f>
        <v>1.6223380311995699</v>
      </c>
      <c r="D18" s="145">
        <f>D17/'总参数页'!H81</f>
        <v>1.0545197202797205</v>
      </c>
      <c r="E18" s="188">
        <f>E17/'总参数页'!I81</f>
        <v>1.3181496503496506</v>
      </c>
      <c r="G18" s="247" t="s">
        <v>335</v>
      </c>
      <c r="H18" s="206">
        <f>2.1*H17*H16/Es*(1.9*'Y向计算'!$K$2+0.08*H15/H14)</f>
        <v>0.22866030716297944</v>
      </c>
      <c r="I18" s="206">
        <f>2.1*I17*I16/Es*(1.9*'Y向计算'!$K$2+0.08*I15/I14)</f>
        <v>0.057052345405016976</v>
      </c>
      <c r="J18" s="206">
        <f>2.1*J17*J16/Es*(1.9*'Y向计算'!$K$2+0.08*J15/J14)</f>
        <v>0.09064934281991519</v>
      </c>
      <c r="K18" s="207">
        <f>2.1*K17*K16/Es*(1.9*'Y向计算'!$K$2+0.08*K15/K14)</f>
        <v>0.06599941744176717</v>
      </c>
      <c r="L18" s="46"/>
    </row>
    <row r="19" spans="1:5" ht="15.75" thickBot="1" thickTop="1">
      <c r="A19" s="279" t="s">
        <v>393</v>
      </c>
      <c r="B19" s="189">
        <f>B17/1000/'Y向计算'!$F$3</f>
        <v>0.004112626909090909</v>
      </c>
      <c r="C19" s="189">
        <f>C17/1000/'Y向计算'!$F$3</f>
        <v>0.003479915076923077</v>
      </c>
      <c r="D19" s="189">
        <f>D17/1000/'Y向计算'!$F$3</f>
        <v>0.0022619448000000004</v>
      </c>
      <c r="E19" s="190">
        <f>E17/1000/'Y向计算'!$F$3</f>
        <v>0.002827431</v>
      </c>
    </row>
    <row r="20" spans="2:5" ht="15" thickTop="1">
      <c r="B20" s="276" t="str">
        <f>IF('计算书(手选)'!E188="不满足！","不足","")</f>
        <v>不足</v>
      </c>
      <c r="C20" s="276">
        <f>IF('计算书(手选)'!E200="不满足！","不足","")</f>
      </c>
      <c r="D20" s="276">
        <f>IF('计算书(手选)'!E212="不满足！","不足","")</f>
      </c>
      <c r="E20" s="276">
        <f>IF('计算书(手选)'!E224="不满足！","不足","")</f>
      </c>
    </row>
  </sheetData>
  <sheetProtection sheet="1" objects="1" scenarios="1" selectLockedCells="1" selectUnlockedCells="1"/>
  <protectedRanges>
    <protectedRange sqref="A11 G11:K18 B14:F19 C11:F11" name="区域1"/>
    <protectedRange sqref="B12:E12" name="区域1_1"/>
    <protectedRange sqref="B2:E2" name="区域1_2"/>
  </protectedRanges>
  <mergeCells count="16">
    <mergeCell ref="G1:K1"/>
    <mergeCell ref="G2:G3"/>
    <mergeCell ref="H2:I2"/>
    <mergeCell ref="J2:K2"/>
    <mergeCell ref="G11:K11"/>
    <mergeCell ref="G12:G13"/>
    <mergeCell ref="H12:I12"/>
    <mergeCell ref="J12:K12"/>
    <mergeCell ref="A1:E1"/>
    <mergeCell ref="A11:E11"/>
    <mergeCell ref="B12:C12"/>
    <mergeCell ref="D12:E12"/>
    <mergeCell ref="B2:C2"/>
    <mergeCell ref="D2:E2"/>
    <mergeCell ref="A12:A13"/>
    <mergeCell ref="A2:A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CK182"/>
  <sheetViews>
    <sheetView zoomScale="90" zoomScaleNormal="90" zoomScaleSheetLayoutView="100" zoomScalePageLayoutView="0" workbookViewId="0" topLeftCell="A34">
      <selection activeCell="I66" sqref="I66"/>
    </sheetView>
  </sheetViews>
  <sheetFormatPr defaultColWidth="9.00390625" defaultRowHeight="14.25"/>
  <cols>
    <col min="1" max="1" width="20.875" style="0" customWidth="1"/>
    <col min="2" max="2" width="10.375" style="0" customWidth="1"/>
    <col min="3" max="3" width="9.75390625" style="0" customWidth="1"/>
    <col min="4" max="5" width="10.625" style="0" customWidth="1"/>
    <col min="6" max="6" width="12.625" style="0" customWidth="1"/>
    <col min="7" max="7" width="11.75390625" style="0" customWidth="1"/>
    <col min="8" max="8" width="10.125" style="0" customWidth="1"/>
    <col min="9" max="9" width="11.875" style="0" customWidth="1"/>
    <col min="10" max="11" width="9.375" style="0" customWidth="1"/>
    <col min="12" max="12" width="9.75390625" style="0" customWidth="1"/>
    <col min="13" max="13" width="9.375" style="0" customWidth="1"/>
    <col min="14" max="14" width="10.875" style="0" customWidth="1"/>
    <col min="15" max="15" width="7.875" style="0" customWidth="1"/>
    <col min="16" max="16" width="10.50390625" style="0" customWidth="1"/>
    <col min="17" max="17" width="6.875" style="0" customWidth="1"/>
    <col min="18" max="18" width="7.25390625" style="0" customWidth="1"/>
    <col min="19" max="19" width="8.875" style="0" customWidth="1"/>
    <col min="20" max="21" width="10.25390625" style="0" bestFit="1" customWidth="1"/>
    <col min="22" max="22" width="7.00390625" style="0" customWidth="1"/>
    <col min="23" max="23" width="8.75390625" style="0" customWidth="1"/>
    <col min="24" max="24" width="10.50390625" style="0" customWidth="1"/>
    <col min="25" max="25" width="6.75390625" style="0" customWidth="1"/>
    <col min="26" max="26" width="7.50390625" style="0" customWidth="1"/>
    <col min="27" max="27" width="8.875" style="0" customWidth="1"/>
    <col min="38" max="38" width="5.50390625" style="0" customWidth="1"/>
    <col min="39" max="39" width="5.625" style="0" customWidth="1"/>
    <col min="40" max="40" width="5.375" style="0" customWidth="1"/>
    <col min="41" max="41" width="5.50390625" style="0" customWidth="1"/>
    <col min="42" max="42" width="5.00390625" style="0" customWidth="1"/>
    <col min="43" max="43" width="5.50390625" style="0" customWidth="1"/>
    <col min="44" max="45" width="4.50390625" style="0" customWidth="1"/>
    <col min="46" max="46" width="4.75390625" style="0" customWidth="1"/>
    <col min="47" max="66" width="5.00390625" style="0" customWidth="1"/>
    <col min="67" max="67" width="7.75390625" style="0" customWidth="1"/>
    <col min="68" max="68" width="7.25390625" style="0" customWidth="1"/>
    <col min="69" max="69" width="7.375" style="0" customWidth="1"/>
    <col min="70" max="70" width="6.50390625" style="0" customWidth="1"/>
    <col min="71" max="71" width="6.875" style="0" customWidth="1"/>
    <col min="72" max="72" width="7.125" style="0" customWidth="1"/>
    <col min="73" max="73" width="7.25390625" style="0" customWidth="1"/>
    <col min="74" max="74" width="6.375" style="0" customWidth="1"/>
    <col min="75" max="75" width="9.375" style="0" customWidth="1"/>
    <col min="76" max="76" width="7.375" style="0" customWidth="1"/>
    <col min="77" max="77" width="7.125" style="0" customWidth="1"/>
    <col min="78" max="78" width="6.375" style="0" customWidth="1"/>
    <col min="79" max="79" width="6.875" style="0" customWidth="1"/>
    <col min="80" max="80" width="6.00390625" style="0" customWidth="1"/>
    <col min="81" max="81" width="6.375" style="0" customWidth="1"/>
    <col min="82" max="82" width="7.50390625" style="0" customWidth="1"/>
  </cols>
  <sheetData>
    <row r="1" spans="1:26" s="1" customFormat="1" ht="27.75" customHeight="1">
      <c r="A1" s="1" t="s">
        <v>33</v>
      </c>
      <c r="E1" s="1" t="s">
        <v>35</v>
      </c>
      <c r="F1" s="2">
        <f>'总参数页'!F3</f>
        <v>3</v>
      </c>
      <c r="G1" s="1" t="s">
        <v>36</v>
      </c>
      <c r="H1" s="1" t="s">
        <v>37</v>
      </c>
      <c r="I1" s="2">
        <v>1.2</v>
      </c>
      <c r="J1" s="1" t="s">
        <v>55</v>
      </c>
      <c r="L1" s="1">
        <f>'总参数页'!I8</f>
        <v>1</v>
      </c>
      <c r="M1" s="1" t="s">
        <v>63</v>
      </c>
      <c r="N1" s="2">
        <f>'总参数页'!I4</f>
        <v>12</v>
      </c>
      <c r="P1" s="1" t="s">
        <v>0</v>
      </c>
      <c r="Q1" s="1" t="s">
        <v>7</v>
      </c>
      <c r="R1" s="1" t="s">
        <v>8</v>
      </c>
      <c r="S1" s="1" t="s">
        <v>6</v>
      </c>
      <c r="T1" s="1" t="s">
        <v>27</v>
      </c>
      <c r="U1" s="1" t="s">
        <v>28</v>
      </c>
      <c r="V1" s="1" t="s">
        <v>9</v>
      </c>
      <c r="W1" s="1">
        <v>0.85</v>
      </c>
      <c r="X1" s="1" t="s">
        <v>63</v>
      </c>
      <c r="Y1" s="2">
        <v>14</v>
      </c>
      <c r="Z1" s="1" t="s">
        <v>0</v>
      </c>
    </row>
    <row r="2" spans="1:22" s="1" customFormat="1" ht="27" customHeight="1">
      <c r="A2" s="1" t="s">
        <v>34</v>
      </c>
      <c r="E2" s="1" t="s">
        <v>41</v>
      </c>
      <c r="F2" s="2">
        <f>'总参数页'!F4</f>
        <v>3.4</v>
      </c>
      <c r="G2" s="1" t="s">
        <v>36</v>
      </c>
      <c r="H2" s="1" t="s">
        <v>40</v>
      </c>
      <c r="I2" s="2">
        <v>1.3</v>
      </c>
      <c r="J2" s="1" t="s">
        <v>61</v>
      </c>
      <c r="K2" s="2">
        <f>'总参数页'!I3</f>
        <v>40</v>
      </c>
      <c r="L2" s="1" t="s">
        <v>0</v>
      </c>
      <c r="Q2" s="1" t="s">
        <v>62</v>
      </c>
      <c r="R2" s="1" t="s">
        <v>62</v>
      </c>
      <c r="S2" s="1" t="s">
        <v>62</v>
      </c>
      <c r="T2" s="1" t="s">
        <v>62</v>
      </c>
      <c r="U2" s="1" t="s">
        <v>62</v>
      </c>
      <c r="V2" s="1" t="s">
        <v>62</v>
      </c>
    </row>
    <row r="3" spans="5:21" ht="14.25">
      <c r="E3" s="1" t="s">
        <v>1</v>
      </c>
      <c r="F3" s="2">
        <f>'总参数页'!F5</f>
        <v>250</v>
      </c>
      <c r="G3" s="1" t="s">
        <v>0</v>
      </c>
      <c r="H3" s="2" t="s">
        <v>68</v>
      </c>
      <c r="I3" s="2">
        <f>'总参数页'!K11</f>
        <v>4.6</v>
      </c>
      <c r="J3" s="1" t="s">
        <v>69</v>
      </c>
      <c r="K3" s="1"/>
      <c r="L3" s="1"/>
      <c r="Q3" s="15"/>
      <c r="R3" s="15"/>
      <c r="S3" s="15"/>
      <c r="T3" s="15"/>
      <c r="U3" s="15"/>
    </row>
    <row r="4" spans="5:82" ht="14.25">
      <c r="E4" s="1" t="s">
        <v>38</v>
      </c>
      <c r="F4" s="2">
        <f>'总参数页'!F6</f>
        <v>40</v>
      </c>
      <c r="G4" s="1" t="s">
        <v>39</v>
      </c>
      <c r="H4" s="2" t="s">
        <v>70</v>
      </c>
      <c r="I4" s="2">
        <v>385</v>
      </c>
      <c r="J4" s="1" t="s">
        <v>95</v>
      </c>
      <c r="K4" s="1"/>
      <c r="L4" s="1"/>
      <c r="Q4" s="15"/>
      <c r="R4" s="15"/>
      <c r="S4" s="15"/>
      <c r="T4" s="15"/>
      <c r="U4" s="15"/>
      <c r="BO4" s="334" t="s">
        <v>65</v>
      </c>
      <c r="BP4" s="334"/>
      <c r="BQ4" s="334"/>
      <c r="BR4" s="334"/>
      <c r="BS4" s="334"/>
      <c r="BT4" s="334"/>
      <c r="BU4" s="334"/>
      <c r="BV4" s="334"/>
      <c r="BW4" s="334" t="s">
        <v>65</v>
      </c>
      <c r="BX4" s="334"/>
      <c r="BY4" s="334"/>
      <c r="BZ4" s="334"/>
      <c r="CA4" s="334"/>
      <c r="CB4" s="334"/>
      <c r="CC4" s="334"/>
      <c r="CD4" s="334"/>
    </row>
    <row r="5" spans="5:82" ht="14.25">
      <c r="E5" s="1" t="s">
        <v>79</v>
      </c>
      <c r="F5" s="2">
        <f>'总参数页'!B7</f>
        <v>0.3</v>
      </c>
      <c r="G5" s="1" t="s">
        <v>86</v>
      </c>
      <c r="H5" s="2" t="s">
        <v>170</v>
      </c>
      <c r="I5" s="1">
        <f>'总参数页'!K6</f>
        <v>0.7</v>
      </c>
      <c r="J5" s="1" t="s">
        <v>171</v>
      </c>
      <c r="K5" s="1">
        <f>'总参数页'!K7</f>
        <v>0.6</v>
      </c>
      <c r="L5" s="1"/>
      <c r="M5" s="1"/>
      <c r="Q5" s="15"/>
      <c r="R5" s="15"/>
      <c r="S5" s="15"/>
      <c r="T5" s="15"/>
      <c r="U5" s="15"/>
      <c r="V5" s="1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2:82" ht="24" customHeight="1" thickBot="1">
      <c r="B6" s="1"/>
      <c r="E6" s="1" t="s">
        <v>113</v>
      </c>
      <c r="G6" s="1" t="s">
        <v>149</v>
      </c>
      <c r="H6" s="1">
        <f>'总参数页'!I5</f>
        <v>800</v>
      </c>
      <c r="I6" s="1" t="s">
        <v>131</v>
      </c>
      <c r="J6" s="1" t="s">
        <v>147</v>
      </c>
      <c r="K6" s="1">
        <f>F1*1000-H6/3</f>
        <v>2733.3333333333335</v>
      </c>
      <c r="L6" s="1" t="s">
        <v>148</v>
      </c>
      <c r="M6" s="1"/>
      <c r="Q6" s="8">
        <f>INDEX('混凝土强度和模量'!D4:D17,'混凝土强度和模量'!I4)</f>
        <v>14.3</v>
      </c>
      <c r="R6" s="8">
        <f>INDEX('混凝土强度和模量'!E4:E17,'混凝土强度和模量'!I4)</f>
        <v>1.43</v>
      </c>
      <c r="S6" s="8">
        <f>INDEX('混凝土强度和模量'!C4:C17,'混凝土强度和模量'!I4)</f>
        <v>2.01</v>
      </c>
      <c r="T6" s="8">
        <f>INDEX('混凝土强度和模量'!B20:B24,'混凝土强度和模量'!I20)</f>
        <v>300</v>
      </c>
      <c r="U6" s="8">
        <f>INDEX('混凝土强度和模量'!C20:C24,'混凝土强度和模量'!I20)</f>
        <v>200000</v>
      </c>
      <c r="V6" s="8">
        <f>INDEX('混凝土强度和模量'!F4:F17,'混凝土强度和模量'!I4)</f>
        <v>30000</v>
      </c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15" thickTop="1">
      <c r="A7" s="39"/>
      <c r="B7" s="311" t="s">
        <v>109</v>
      </c>
      <c r="C7" s="300"/>
      <c r="D7" s="300"/>
      <c r="E7" s="312"/>
      <c r="F7" s="299" t="s">
        <v>137</v>
      </c>
      <c r="G7" s="300"/>
      <c r="H7" s="300"/>
      <c r="I7" s="301"/>
      <c r="J7" s="1"/>
      <c r="K7" s="1"/>
      <c r="L7" s="1"/>
      <c r="M7" s="1"/>
      <c r="N7" s="1"/>
      <c r="V7" s="1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:82" ht="14.25">
      <c r="A8" s="40"/>
      <c r="B8" s="302" t="s">
        <v>74</v>
      </c>
      <c r="C8" s="303"/>
      <c r="D8" s="303" t="s">
        <v>75</v>
      </c>
      <c r="E8" s="308"/>
      <c r="F8" s="307" t="s">
        <v>74</v>
      </c>
      <c r="G8" s="303"/>
      <c r="H8" s="303" t="s">
        <v>75</v>
      </c>
      <c r="I8" s="316"/>
      <c r="J8" s="1"/>
      <c r="K8" s="1"/>
      <c r="L8" s="1"/>
      <c r="M8" s="1"/>
      <c r="N8" s="1"/>
      <c r="V8" s="1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2" ht="14.25">
      <c r="A9" s="40"/>
      <c r="B9" s="19" t="s">
        <v>80</v>
      </c>
      <c r="C9" s="18" t="s">
        <v>81</v>
      </c>
      <c r="D9" s="18" t="s">
        <v>80</v>
      </c>
      <c r="E9" s="32" t="s">
        <v>81</v>
      </c>
      <c r="F9" s="34" t="s">
        <v>80</v>
      </c>
      <c r="G9" s="18" t="s">
        <v>81</v>
      </c>
      <c r="H9" s="18" t="s">
        <v>80</v>
      </c>
      <c r="I9" s="17" t="s">
        <v>81</v>
      </c>
      <c r="J9" s="1"/>
      <c r="K9" s="1"/>
      <c r="L9" s="1"/>
      <c r="M9" s="1"/>
      <c r="N9" s="1"/>
      <c r="V9" s="1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15" thickBot="1">
      <c r="A10" s="41"/>
      <c r="B10" s="30" t="s">
        <v>82</v>
      </c>
      <c r="C10" s="31" t="s">
        <v>82</v>
      </c>
      <c r="D10" s="31" t="s">
        <v>82</v>
      </c>
      <c r="E10" s="33" t="s">
        <v>82</v>
      </c>
      <c r="F10" s="35" t="s">
        <v>82</v>
      </c>
      <c r="G10" s="36" t="s">
        <v>82</v>
      </c>
      <c r="H10" s="36" t="s">
        <v>82</v>
      </c>
      <c r="I10" s="37" t="s">
        <v>82</v>
      </c>
      <c r="J10" s="1"/>
      <c r="K10" s="1"/>
      <c r="L10" s="1"/>
      <c r="M10" s="1"/>
      <c r="N10" s="1"/>
      <c r="V10" s="1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15" thickTop="1">
      <c r="A11" s="42" t="s">
        <v>96</v>
      </c>
      <c r="B11" s="304" t="str">
        <f>F5&amp;" mm"</f>
        <v>0.3 mm</v>
      </c>
      <c r="C11" s="305"/>
      <c r="D11" s="305"/>
      <c r="E11" s="305"/>
      <c r="F11" s="305"/>
      <c r="G11" s="305"/>
      <c r="H11" s="305"/>
      <c r="I11" s="306"/>
      <c r="J11" s="1"/>
      <c r="K11" s="1"/>
      <c r="L11" s="1"/>
      <c r="M11" s="1"/>
      <c r="N11" s="1"/>
      <c r="V11" s="1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</row>
    <row r="12" spans="1:82" ht="14.25">
      <c r="A12" s="43" t="s">
        <v>134</v>
      </c>
      <c r="B12" s="27">
        <f aca="true" t="shared" si="0" ref="B12:I12">B60</f>
        <v>69.94697033333333</v>
      </c>
      <c r="C12" s="27">
        <f t="shared" si="0"/>
        <v>38.09187091111111</v>
      </c>
      <c r="D12" s="27">
        <f t="shared" si="0"/>
        <v>23.315656777777775</v>
      </c>
      <c r="E12" s="27">
        <f t="shared" si="0"/>
        <v>31.166076199999992</v>
      </c>
      <c r="F12" s="27">
        <f t="shared" si="0"/>
        <v>42.95420033333334</v>
      </c>
      <c r="G12" s="27">
        <f t="shared" si="0"/>
        <v>18.676841088888896</v>
      </c>
      <c r="H12" s="27">
        <f t="shared" si="0"/>
        <v>14.318066777777782</v>
      </c>
      <c r="I12" s="27">
        <f t="shared" si="0"/>
        <v>15.281051800000004</v>
      </c>
      <c r="J12" s="11"/>
      <c r="K12" s="60"/>
      <c r="L12" s="1"/>
      <c r="M12" s="1"/>
      <c r="N12" s="3"/>
      <c r="O12" s="3"/>
      <c r="P12" s="3"/>
      <c r="Q12" s="3"/>
      <c r="V12" s="1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</row>
    <row r="13" spans="1:82" ht="14.25">
      <c r="A13" s="43" t="s">
        <v>135</v>
      </c>
      <c r="B13" s="27">
        <f aca="true" t="shared" si="1" ref="B13:I13">B90</f>
        <v>54.370544166666676</v>
      </c>
      <c r="C13" s="27">
        <f t="shared" si="1"/>
        <v>29.609227388888893</v>
      </c>
      <c r="D13" s="27">
        <f t="shared" si="1"/>
        <v>18.123514722222225</v>
      </c>
      <c r="E13" s="27">
        <f t="shared" si="1"/>
        <v>24.225731500000002</v>
      </c>
      <c r="F13" s="27">
        <f t="shared" si="1"/>
        <v>33.38876916666668</v>
      </c>
      <c r="G13" s="27">
        <f t="shared" si="1"/>
        <v>14.517712611111117</v>
      </c>
      <c r="H13" s="27">
        <f t="shared" si="1"/>
        <v>11.129589722222224</v>
      </c>
      <c r="I13" s="27">
        <f t="shared" si="1"/>
        <v>11.878128500000003</v>
      </c>
      <c r="J13" s="11"/>
      <c r="K13" s="60"/>
      <c r="L13" s="1"/>
      <c r="M13" s="1"/>
      <c r="N13" s="1">
        <f>'总参数页'!M39</f>
        <v>0</v>
      </c>
      <c r="O13" s="3"/>
      <c r="V13" s="1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</row>
    <row r="14" spans="1:82" ht="14.25">
      <c r="A14" s="43"/>
      <c r="B14" s="27"/>
      <c r="C14" s="20"/>
      <c r="D14" s="20"/>
      <c r="E14" s="52"/>
      <c r="F14" s="38"/>
      <c r="G14" s="20"/>
      <c r="H14" s="20"/>
      <c r="I14" s="21"/>
      <c r="J14" s="11"/>
      <c r="K14" s="60"/>
      <c r="L14" s="1"/>
      <c r="M14" s="1"/>
      <c r="N14" s="1"/>
      <c r="V14" s="1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</row>
    <row r="15" spans="1:82" ht="14.25">
      <c r="A15" s="43" t="s">
        <v>129</v>
      </c>
      <c r="B15" s="28">
        <f aca="true" t="shared" si="2" ref="B15:I15">B67</f>
        <v>1219.3787147701164</v>
      </c>
      <c r="C15" s="28">
        <f t="shared" si="2"/>
        <v>643.723247033209</v>
      </c>
      <c r="D15" s="28">
        <f t="shared" si="2"/>
        <v>388.7454024151867</v>
      </c>
      <c r="E15" s="28">
        <f t="shared" si="2"/>
        <v>523.3321132044382</v>
      </c>
      <c r="F15" s="28">
        <f t="shared" si="2"/>
        <v>729.2078583298076</v>
      </c>
      <c r="G15" s="28">
        <f t="shared" si="2"/>
        <v>310.122427879987</v>
      </c>
      <c r="H15" s="28">
        <f t="shared" si="2"/>
        <v>236.83959462664376</v>
      </c>
      <c r="I15" s="28">
        <f t="shared" si="2"/>
        <v>252.98118907533382</v>
      </c>
      <c r="J15" s="11"/>
      <c r="K15" s="60"/>
      <c r="L15" s="1"/>
      <c r="M15" s="1"/>
      <c r="N15" s="1"/>
      <c r="V15" s="1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</row>
    <row r="16" spans="1:82" ht="14.25">
      <c r="A16" s="43" t="s">
        <v>130</v>
      </c>
      <c r="B16" s="28">
        <f aca="true" t="shared" si="3" ref="B16:I16">B106</f>
        <v>1135.5264512000215</v>
      </c>
      <c r="C16" s="28">
        <f t="shared" si="3"/>
        <v>618.3874267768023</v>
      </c>
      <c r="D16" s="28">
        <f t="shared" si="3"/>
        <v>378.5088170666739</v>
      </c>
      <c r="E16" s="28">
        <f t="shared" si="3"/>
        <v>505.95334918102003</v>
      </c>
      <c r="F16" s="28">
        <f t="shared" si="3"/>
        <v>697.3229924927956</v>
      </c>
      <c r="G16" s="28">
        <f t="shared" si="3"/>
        <v>303.2017967358055</v>
      </c>
      <c r="H16" s="28">
        <f t="shared" si="3"/>
        <v>232.4409974975985</v>
      </c>
      <c r="I16" s="28">
        <f t="shared" si="3"/>
        <v>248.0741973292954</v>
      </c>
      <c r="J16" s="11"/>
      <c r="K16" s="60"/>
      <c r="L16" s="1"/>
      <c r="M16" s="1"/>
      <c r="N16" s="1"/>
      <c r="V16" s="1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</row>
    <row r="17" spans="1:82" ht="14.25">
      <c r="A17" s="43" t="s">
        <v>71</v>
      </c>
      <c r="B17" s="131">
        <f aca="true" t="shared" si="4" ref="B17:I17">MAX(B15,B16)/(1000*$F$3)</f>
        <v>0.004877514859080466</v>
      </c>
      <c r="C17" s="132">
        <f t="shared" si="4"/>
        <v>0.002574892988132836</v>
      </c>
      <c r="D17" s="132">
        <f t="shared" si="4"/>
        <v>0.0015549816096607468</v>
      </c>
      <c r="E17" s="134">
        <f t="shared" si="4"/>
        <v>0.0020933284528177527</v>
      </c>
      <c r="F17" s="135">
        <f t="shared" si="4"/>
        <v>0.0029168314333192303</v>
      </c>
      <c r="G17" s="132">
        <f t="shared" si="4"/>
        <v>0.001240489711519948</v>
      </c>
      <c r="H17" s="132">
        <f t="shared" si="4"/>
        <v>0.0009473583785065751</v>
      </c>
      <c r="I17" s="133">
        <f t="shared" si="4"/>
        <v>0.0010119247563013353</v>
      </c>
      <c r="J17" s="11"/>
      <c r="K17" s="60"/>
      <c r="L17" s="1"/>
      <c r="M17" s="1"/>
      <c r="N17" s="1"/>
      <c r="V17" s="1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</row>
    <row r="18" spans="1:82" ht="14.25">
      <c r="A18" s="43" t="s">
        <v>84</v>
      </c>
      <c r="B18" s="135">
        <f aca="true" t="shared" si="5" ref="B18:I18">MAX(0.002,45*$R$6/$T$6/100)</f>
        <v>0.0021449999999999998</v>
      </c>
      <c r="C18" s="135">
        <f t="shared" si="5"/>
        <v>0.0021449999999999998</v>
      </c>
      <c r="D18" s="135">
        <f t="shared" si="5"/>
        <v>0.0021449999999999998</v>
      </c>
      <c r="E18" s="135">
        <f t="shared" si="5"/>
        <v>0.0021449999999999998</v>
      </c>
      <c r="F18" s="135">
        <f t="shared" si="5"/>
        <v>0.0021449999999999998</v>
      </c>
      <c r="G18" s="135">
        <f t="shared" si="5"/>
        <v>0.0021449999999999998</v>
      </c>
      <c r="H18" s="135">
        <f t="shared" si="5"/>
        <v>0.0021449999999999998</v>
      </c>
      <c r="I18" s="135">
        <f t="shared" si="5"/>
        <v>0.0021449999999999998</v>
      </c>
      <c r="J18" s="11"/>
      <c r="K18" s="60"/>
      <c r="L18" s="1"/>
      <c r="M18" s="1"/>
      <c r="N18" s="1"/>
      <c r="V18" s="1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</row>
    <row r="19" spans="1:82" ht="14.25">
      <c r="A19" s="43" t="s">
        <v>94</v>
      </c>
      <c r="B19" s="127">
        <f aca="true" t="shared" si="6" ref="B19:I19">MAX(B18,B17)*$F$3*1000</f>
        <v>1219.3787147701164</v>
      </c>
      <c r="C19" s="128">
        <f t="shared" si="6"/>
        <v>643.7232470332091</v>
      </c>
      <c r="D19" s="128">
        <f t="shared" si="6"/>
        <v>536.2499999999999</v>
      </c>
      <c r="E19" s="136">
        <f t="shared" si="6"/>
        <v>536.2499999999999</v>
      </c>
      <c r="F19" s="130">
        <f t="shared" si="6"/>
        <v>729.2078583298077</v>
      </c>
      <c r="G19" s="128">
        <f t="shared" si="6"/>
        <v>536.2499999999999</v>
      </c>
      <c r="H19" s="128">
        <f t="shared" si="6"/>
        <v>536.2499999999999</v>
      </c>
      <c r="I19" s="129">
        <f t="shared" si="6"/>
        <v>536.2499999999999</v>
      </c>
      <c r="J19" s="11"/>
      <c r="K19" s="60"/>
      <c r="L19" s="1"/>
      <c r="M19" s="1"/>
      <c r="N19" s="1"/>
      <c r="V19" s="1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</row>
    <row r="20" spans="1:82" ht="14.25">
      <c r="A20" s="43" t="s">
        <v>90</v>
      </c>
      <c r="B20" s="27">
        <f aca="true" t="shared" si="7" ref="B20:I20">B19*0.785/100</f>
        <v>9.572122910945415</v>
      </c>
      <c r="C20" s="20">
        <f t="shared" si="7"/>
        <v>5.053227489210691</v>
      </c>
      <c r="D20" s="20">
        <f t="shared" si="7"/>
        <v>4.2095625</v>
      </c>
      <c r="E20" s="52">
        <f t="shared" si="7"/>
        <v>4.2095625</v>
      </c>
      <c r="F20" s="38">
        <f t="shared" si="7"/>
        <v>5.724281687888991</v>
      </c>
      <c r="G20" s="20">
        <f t="shared" si="7"/>
        <v>4.2095625</v>
      </c>
      <c r="H20" s="20">
        <f t="shared" si="7"/>
        <v>4.2095625</v>
      </c>
      <c r="I20" s="21">
        <f t="shared" si="7"/>
        <v>4.2095625</v>
      </c>
      <c r="J20" s="11"/>
      <c r="K20" s="60"/>
      <c r="L20" s="1"/>
      <c r="M20" s="1"/>
      <c r="N20" s="1"/>
      <c r="V20" s="1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</row>
    <row r="21" spans="1:82" ht="14.25">
      <c r="A21" s="43" t="s">
        <v>85</v>
      </c>
      <c r="B21" s="27">
        <f>(B20+C20+D20+E20)*$F$2*$F1/2</f>
        <v>117.52682454079613</v>
      </c>
      <c r="C21" s="22" t="str">
        <f>"("&amp;F1&amp;"m × "&amp;F2&amp;"m)"</f>
        <v>(3m × 3.4m)</v>
      </c>
      <c r="D21" s="23"/>
      <c r="E21" s="53"/>
      <c r="F21" s="38">
        <f>(F20+G20+H20+I20)*$F$2*$F1/2</f>
        <v>93.60014285823385</v>
      </c>
      <c r="G21" s="22" t="str">
        <f>"("&amp;F1&amp;"m × "&amp;F2&amp;"m)"</f>
        <v>(3m × 3.4m)</v>
      </c>
      <c r="H21" s="22"/>
      <c r="I21" s="24"/>
      <c r="J21" s="11"/>
      <c r="K21" s="60"/>
      <c r="L21" s="1"/>
      <c r="M21" s="1"/>
      <c r="N21" s="1"/>
      <c r="V21" s="1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14.25">
      <c r="A22" s="43" t="s">
        <v>87</v>
      </c>
      <c r="B22" s="27">
        <f>B21/(F$1*F$2)</f>
        <v>11.522237700078053</v>
      </c>
      <c r="C22" s="23"/>
      <c r="D22" s="23"/>
      <c r="E22" s="53"/>
      <c r="F22" s="38">
        <f>F21/(F$1*F$2)</f>
        <v>9.176484593944496</v>
      </c>
      <c r="G22" s="22"/>
      <c r="H22" s="22"/>
      <c r="I22" s="24"/>
      <c r="J22" s="11"/>
      <c r="K22" s="60"/>
      <c r="L22" s="1"/>
      <c r="M22" s="1"/>
      <c r="N22" s="1"/>
      <c r="V22" s="1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2" ht="14.25">
      <c r="A23" s="43" t="s">
        <v>89</v>
      </c>
      <c r="B23" s="27">
        <f>F3/1000</f>
        <v>0.25</v>
      </c>
      <c r="C23" s="23"/>
      <c r="D23" s="23"/>
      <c r="E23" s="53"/>
      <c r="F23" s="38">
        <f>F3/1000</f>
        <v>0.25</v>
      </c>
      <c r="G23" s="22"/>
      <c r="H23" s="22"/>
      <c r="I23" s="24"/>
      <c r="J23" s="11"/>
      <c r="K23" s="60"/>
      <c r="L23" s="1"/>
      <c r="M23" s="1"/>
      <c r="N23" s="1"/>
      <c r="V23" s="1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2" ht="14.25">
      <c r="A24" s="43" t="s">
        <v>88</v>
      </c>
      <c r="B24" s="51">
        <f>B22*$I3+$I4*B23</f>
        <v>149.25229342035902</v>
      </c>
      <c r="C24" s="23"/>
      <c r="D24" s="23"/>
      <c r="E24" s="53"/>
      <c r="F24" s="50">
        <f>F22*$I3+$I4*F23</f>
        <v>138.4618291321447</v>
      </c>
      <c r="G24" s="22"/>
      <c r="H24" s="22"/>
      <c r="I24" s="24"/>
      <c r="J24" s="11"/>
      <c r="K24" s="60"/>
      <c r="L24" s="1"/>
      <c r="M24" s="1"/>
      <c r="P24" t="s">
        <v>111</v>
      </c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4.25">
      <c r="A25" s="43" t="s">
        <v>104</v>
      </c>
      <c r="B25" s="127">
        <f>'总参数页'!B49</f>
        <v>14</v>
      </c>
      <c r="C25" s="128">
        <f>'总参数页'!C49</f>
        <v>12</v>
      </c>
      <c r="D25" s="128">
        <f>'总参数页'!D49</f>
        <v>12</v>
      </c>
      <c r="E25" s="136">
        <f>'总参数页'!E49</f>
        <v>12</v>
      </c>
      <c r="F25" s="136">
        <f>'总参数页'!F49</f>
        <v>12</v>
      </c>
      <c r="G25" s="136">
        <f>'总参数页'!G49</f>
        <v>12</v>
      </c>
      <c r="H25" s="136">
        <f>'总参数页'!H49</f>
        <v>12</v>
      </c>
      <c r="I25" s="136">
        <f>'总参数页'!I49</f>
        <v>12</v>
      </c>
      <c r="J25" s="11"/>
      <c r="K25" s="60"/>
      <c r="L25" s="1"/>
      <c r="M25" s="1"/>
      <c r="P25" s="46" t="s">
        <v>112</v>
      </c>
      <c r="Q25" s="46"/>
      <c r="R25" s="46"/>
      <c r="S25" s="46"/>
      <c r="T25" s="46"/>
      <c r="U25" s="46"/>
      <c r="V25" s="46"/>
      <c r="W25" s="46"/>
      <c r="X25" s="46"/>
      <c r="Y25" s="46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ht="14.25">
      <c r="A26" s="43" t="s">
        <v>105</v>
      </c>
      <c r="B26" s="127">
        <f aca="true" t="shared" si="8" ref="B26:I26">IF(INT(1000/(B19/(B25^2*PI()/4))/10)*10&gt;200,200,IF(INT(1000/(B19/(B25^2*PI()/4))/10)*10&lt;100,100,INT(1000/(B19/(B25^2*PI()/4))/10)*10))</f>
        <v>120</v>
      </c>
      <c r="C26" s="127">
        <f t="shared" si="8"/>
        <v>170</v>
      </c>
      <c r="D26" s="127">
        <f t="shared" si="8"/>
        <v>200</v>
      </c>
      <c r="E26" s="127">
        <f t="shared" si="8"/>
        <v>200</v>
      </c>
      <c r="F26" s="127">
        <f t="shared" si="8"/>
        <v>150</v>
      </c>
      <c r="G26" s="127">
        <f t="shared" si="8"/>
        <v>200</v>
      </c>
      <c r="H26" s="127">
        <f t="shared" si="8"/>
        <v>200</v>
      </c>
      <c r="I26" s="127">
        <f t="shared" si="8"/>
        <v>200</v>
      </c>
      <c r="J26" s="11"/>
      <c r="K26" s="60"/>
      <c r="L26" s="1"/>
      <c r="M26" s="1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5" thickBot="1">
      <c r="A27" s="44"/>
      <c r="B27" s="137" t="str">
        <f aca="true" t="shared" si="9" ref="B27:I27">"φ"&amp;B25&amp;"@"&amp;B26</f>
        <v>φ14@120</v>
      </c>
      <c r="C27" s="137" t="str">
        <f t="shared" si="9"/>
        <v>φ12@170</v>
      </c>
      <c r="D27" s="137" t="str">
        <f t="shared" si="9"/>
        <v>φ12@200</v>
      </c>
      <c r="E27" s="137" t="str">
        <f t="shared" si="9"/>
        <v>φ12@200</v>
      </c>
      <c r="F27" s="137" t="str">
        <f t="shared" si="9"/>
        <v>φ12@150</v>
      </c>
      <c r="G27" s="137" t="str">
        <f t="shared" si="9"/>
        <v>φ12@200</v>
      </c>
      <c r="H27" s="137" t="str">
        <f t="shared" si="9"/>
        <v>φ12@200</v>
      </c>
      <c r="I27" s="137" t="str">
        <f t="shared" si="9"/>
        <v>φ12@200</v>
      </c>
      <c r="J27" s="11"/>
      <c r="K27" s="60"/>
      <c r="L27" s="1"/>
      <c r="M27" s="1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ht="15" thickTop="1">
      <c r="A28" s="47"/>
      <c r="B28" s="48"/>
      <c r="C28" s="48"/>
      <c r="D28" s="48"/>
      <c r="E28" s="48"/>
      <c r="F28" s="48"/>
      <c r="G28" s="48"/>
      <c r="H28" s="48"/>
      <c r="I28" s="48"/>
      <c r="J28" s="1"/>
      <c r="K28" s="1"/>
      <c r="L28" s="1"/>
      <c r="M28" s="1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2" s="1" customFormat="1" ht="12">
      <c r="A29" s="43" t="s">
        <v>146</v>
      </c>
      <c r="B29" s="56"/>
      <c r="C29" s="56"/>
      <c r="D29" s="56"/>
      <c r="E29" s="56"/>
      <c r="F29" s="56" t="s">
        <v>152</v>
      </c>
      <c r="G29" s="56" t="s">
        <v>151</v>
      </c>
      <c r="H29" s="56" t="s">
        <v>78</v>
      </c>
      <c r="I29" s="56"/>
      <c r="J29" s="54"/>
      <c r="K29" s="54"/>
      <c r="L29" s="1" t="s">
        <v>153</v>
      </c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s="1" customFormat="1" ht="12">
      <c r="A30" s="43" t="s">
        <v>150</v>
      </c>
      <c r="B30" s="56"/>
      <c r="C30" s="56"/>
      <c r="D30" s="56"/>
      <c r="E30" s="56"/>
      <c r="F30" s="56" t="str">
        <f>F27</f>
        <v>φ12@150</v>
      </c>
      <c r="G30" s="57">
        <f>INT((0.35*K6+H6/3)/10)*10</f>
        <v>1220</v>
      </c>
      <c r="H30" s="56">
        <f>F19</f>
        <v>729.2078583298077</v>
      </c>
      <c r="I30" s="56"/>
      <c r="J30" s="54"/>
      <c r="K30" s="54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s="1" customFormat="1" ht="12">
      <c r="A31" s="43" t="s">
        <v>150</v>
      </c>
      <c r="B31" s="56"/>
      <c r="C31" s="56"/>
      <c r="D31" s="56"/>
      <c r="E31" s="56"/>
      <c r="F31" s="56" t="str">
        <f>F27</f>
        <v>φ12@150</v>
      </c>
      <c r="G31" s="57">
        <f>INT((0.2*K6+H6/3)/10)*10</f>
        <v>810</v>
      </c>
      <c r="H31" s="56">
        <f>F19</f>
        <v>729.2078583298077</v>
      </c>
      <c r="I31" s="56"/>
      <c r="J31" s="54"/>
      <c r="K31" s="54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s="1" customFormat="1" ht="12">
      <c r="A32" s="43" t="s">
        <v>157</v>
      </c>
      <c r="B32" s="56"/>
      <c r="C32" s="56"/>
      <c r="D32" s="56"/>
      <c r="E32" s="56"/>
      <c r="F32" s="56" t="str">
        <f>G27</f>
        <v>φ12@200</v>
      </c>
      <c r="G32" s="57">
        <f>F1*1000</f>
        <v>3000</v>
      </c>
      <c r="H32" s="56">
        <f>G19</f>
        <v>536.2499999999999</v>
      </c>
      <c r="I32" s="56"/>
      <c r="J32" s="54"/>
      <c r="K32" s="54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s="1" customFormat="1" ht="12">
      <c r="A33" s="43" t="s">
        <v>156</v>
      </c>
      <c r="B33" s="56"/>
      <c r="C33" s="56"/>
      <c r="D33" s="56"/>
      <c r="E33" s="56"/>
      <c r="F33" s="56"/>
      <c r="G33" s="57"/>
      <c r="H33" s="56"/>
      <c r="I33" s="56"/>
      <c r="J33" s="54"/>
      <c r="K33" s="54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s="1" customFormat="1" ht="12">
      <c r="A34" s="43" t="s">
        <v>155</v>
      </c>
      <c r="B34" s="48"/>
      <c r="C34" s="48"/>
      <c r="D34" s="48"/>
      <c r="E34" s="48"/>
      <c r="F34" s="48" t="str">
        <f>G27</f>
        <v>φ12@200</v>
      </c>
      <c r="G34" s="57">
        <f>0.25*K6+H6/3</f>
        <v>950</v>
      </c>
      <c r="H34" s="48">
        <f>H19</f>
        <v>536.2499999999999</v>
      </c>
      <c r="I34" s="48"/>
      <c r="J34" s="54"/>
      <c r="K34" s="54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s="1" customFormat="1" ht="12.75">
      <c r="A35" s="43" t="s">
        <v>154</v>
      </c>
      <c r="B35" s="48"/>
      <c r="C35" s="48"/>
      <c r="D35" s="48"/>
      <c r="E35" s="48"/>
      <c r="F35" s="48" t="str">
        <f>I27</f>
        <v>φ12@200</v>
      </c>
      <c r="G35" s="48">
        <f>G32</f>
        <v>3000</v>
      </c>
      <c r="H35" s="48">
        <f>I19</f>
        <v>536.2499999999999</v>
      </c>
      <c r="I35" s="48"/>
      <c r="J35" s="55"/>
      <c r="K35" s="55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s="1" customFormat="1" ht="12.75">
      <c r="A36" s="43"/>
      <c r="B36" s="48"/>
      <c r="C36" s="48"/>
      <c r="D36" s="48"/>
      <c r="E36" s="48"/>
      <c r="F36" s="48"/>
      <c r="G36" s="48"/>
      <c r="H36" s="48"/>
      <c r="I36" s="48"/>
      <c r="J36" s="55"/>
      <c r="K36" s="55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s="1" customFormat="1" ht="12.75">
      <c r="A37" s="43"/>
      <c r="B37" s="48"/>
      <c r="C37" s="48"/>
      <c r="D37" s="48"/>
      <c r="E37" s="48"/>
      <c r="F37" s="48"/>
      <c r="G37" s="48"/>
      <c r="H37" s="48"/>
      <c r="I37" s="48"/>
      <c r="J37" s="55"/>
      <c r="K37" s="55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s="1" customFormat="1" ht="12.75">
      <c r="A38" s="43"/>
      <c r="B38" s="48"/>
      <c r="C38" s="48"/>
      <c r="D38" s="48"/>
      <c r="E38" s="48"/>
      <c r="F38" s="48"/>
      <c r="G38" s="48"/>
      <c r="H38" s="48"/>
      <c r="I38" s="48"/>
      <c r="J38" s="55"/>
      <c r="K38" s="55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s="1" customFormat="1" ht="12">
      <c r="A39" s="43"/>
      <c r="B39" s="14"/>
      <c r="C39" s="14"/>
      <c r="D39" s="14"/>
      <c r="E39" s="14"/>
      <c r="F39" s="14"/>
      <c r="G39" s="14"/>
      <c r="H39" s="14"/>
      <c r="I39" s="335" t="s">
        <v>132</v>
      </c>
      <c r="J39" s="335"/>
      <c r="K39" s="335"/>
      <c r="L39" s="335" t="s">
        <v>133</v>
      </c>
      <c r="M39" s="335"/>
      <c r="N39" s="335"/>
      <c r="AU39" s="10"/>
      <c r="BE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s="15" customFormat="1" ht="14.25">
      <c r="A40" s="2"/>
      <c r="B40" s="14"/>
      <c r="F40" s="14"/>
      <c r="G40" s="14"/>
      <c r="H40" s="14"/>
      <c r="I40" s="14" t="s">
        <v>226</v>
      </c>
      <c r="J40" s="14" t="s">
        <v>227</v>
      </c>
      <c r="K40" s="14" t="s">
        <v>228</v>
      </c>
      <c r="L40" s="14" t="s">
        <v>226</v>
      </c>
      <c r="M40" s="14" t="s">
        <v>227</v>
      </c>
      <c r="N40" s="14" t="s">
        <v>228</v>
      </c>
      <c r="V40" s="1"/>
      <c r="AD40" s="1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1:89" s="15" customFormat="1" ht="14.25">
      <c r="A41" s="2" t="s">
        <v>42</v>
      </c>
      <c r="B41" s="2" t="s">
        <v>1</v>
      </c>
      <c r="C41" s="2" t="s">
        <v>43</v>
      </c>
      <c r="D41" s="1" t="s">
        <v>44</v>
      </c>
      <c r="E41" s="339" t="s">
        <v>45</v>
      </c>
      <c r="F41" s="339"/>
      <c r="G41" s="339" t="s">
        <v>50</v>
      </c>
      <c r="H41" s="339"/>
      <c r="I41" s="2" t="s">
        <v>76</v>
      </c>
      <c r="J41" s="2" t="s">
        <v>66</v>
      </c>
      <c r="K41" s="2" t="s">
        <v>174</v>
      </c>
      <c r="L41" s="2" t="s">
        <v>76</v>
      </c>
      <c r="M41" s="2" t="s">
        <v>66</v>
      </c>
      <c r="N41" s="2" t="s">
        <v>174</v>
      </c>
      <c r="R41" s="1"/>
      <c r="V41" s="1"/>
      <c r="Z41" s="1"/>
      <c r="AD41" s="1"/>
      <c r="AH41" s="1"/>
      <c r="AL41" s="7"/>
      <c r="AM41" s="7"/>
      <c r="AN41" s="7"/>
      <c r="AO41" s="7"/>
      <c r="AQ41" s="7"/>
      <c r="AR41" s="7"/>
      <c r="AS41" s="7"/>
      <c r="AT41" s="7"/>
      <c r="BO41" s="1"/>
      <c r="BQ41" s="1"/>
      <c r="BR41" s="1"/>
      <c r="BS41" s="1"/>
      <c r="BT41" s="1"/>
      <c r="BU41" s="1"/>
      <c r="BV41" s="1"/>
      <c r="BW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2"/>
    </row>
    <row r="42" spans="1:87" s="15" customFormat="1" ht="14.25">
      <c r="A42" s="2" t="s">
        <v>46</v>
      </c>
      <c r="B42" s="2" t="s">
        <v>0</v>
      </c>
      <c r="C42" s="2" t="s">
        <v>47</v>
      </c>
      <c r="D42" s="1" t="s">
        <v>46</v>
      </c>
      <c r="E42" s="2" t="s">
        <v>48</v>
      </c>
      <c r="F42" s="2" t="s">
        <v>49</v>
      </c>
      <c r="G42" s="2" t="s">
        <v>136</v>
      </c>
      <c r="H42" s="2" t="s">
        <v>72</v>
      </c>
      <c r="I42" s="2" t="s">
        <v>52</v>
      </c>
      <c r="J42" s="2" t="s">
        <v>73</v>
      </c>
      <c r="K42" s="2" t="s">
        <v>175</v>
      </c>
      <c r="L42" s="2" t="s">
        <v>52</v>
      </c>
      <c r="M42" s="2" t="s">
        <v>73</v>
      </c>
      <c r="N42" s="2" t="s">
        <v>175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Q42" s="1"/>
      <c r="BQ42" s="1"/>
      <c r="BR42" s="1"/>
      <c r="BS42" s="1"/>
      <c r="BT42" s="1"/>
      <c r="BU42" s="1"/>
      <c r="BV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2" s="15" customFormat="1" ht="14.25">
      <c r="A43" s="1"/>
      <c r="B43" s="1"/>
      <c r="C43" s="1"/>
      <c r="D43" s="1"/>
      <c r="E43" s="1"/>
      <c r="F43" s="1"/>
      <c r="G43" s="2" t="s">
        <v>64</v>
      </c>
      <c r="H43" s="2" t="s">
        <v>64</v>
      </c>
      <c r="I43" s="2"/>
      <c r="J43" s="2"/>
      <c r="K43" s="2"/>
      <c r="L43" s="2"/>
      <c r="M43" s="2"/>
      <c r="N43" s="2" t="s">
        <v>56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s="15" customFormat="1" ht="14.25">
      <c r="A44" s="1"/>
      <c r="B44" s="1"/>
      <c r="C44" s="1"/>
      <c r="D44" s="1"/>
      <c r="E44" s="1"/>
      <c r="F44" s="1"/>
      <c r="G44" s="1"/>
      <c r="H44" s="1"/>
      <c r="I44" s="2" t="s">
        <v>93</v>
      </c>
      <c r="J44" s="2" t="s">
        <v>93</v>
      </c>
      <c r="K44" s="2"/>
      <c r="L44" s="2" t="s">
        <v>93</v>
      </c>
      <c r="M44" s="2" t="s">
        <v>93</v>
      </c>
      <c r="N44" s="2" t="s">
        <v>93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Q44" s="1"/>
      <c r="BR44" s="1"/>
      <c r="BS44" s="1"/>
      <c r="BT44" s="1"/>
      <c r="BU44" s="1"/>
      <c r="BV44" s="1"/>
      <c r="BY44" s="1"/>
      <c r="BZ44" s="1"/>
      <c r="CA44" s="1"/>
      <c r="CB44" s="1"/>
      <c r="CC44" s="1"/>
      <c r="CD44" s="1"/>
    </row>
    <row r="45" spans="1:82" s="15" customFormat="1" ht="14.25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Q45" s="1"/>
      <c r="BR45" s="1"/>
      <c r="BS45" s="1"/>
      <c r="BT45" s="1"/>
      <c r="BU45" s="1"/>
      <c r="BV45" s="1"/>
      <c r="BY45" s="1"/>
      <c r="BZ45" s="1"/>
      <c r="CA45" s="1"/>
      <c r="CB45" s="1"/>
      <c r="CC45" s="1"/>
      <c r="CD45" s="1"/>
    </row>
    <row r="46" spans="1:87" s="1" customFormat="1" ht="12">
      <c r="A46" s="2">
        <f>$F$4</f>
        <v>40</v>
      </c>
      <c r="B46" s="2">
        <f>F$3</f>
        <v>250</v>
      </c>
      <c r="C46" s="6">
        <f>$F$1</f>
        <v>3</v>
      </c>
      <c r="D46" s="61">
        <f>B46*25/1000+'总参数页'!F7</f>
        <v>6.25</v>
      </c>
      <c r="E46" s="2">
        <f>I$1</f>
        <v>1.2</v>
      </c>
      <c r="F46" s="2">
        <f>I$2</f>
        <v>1.3</v>
      </c>
      <c r="G46" s="2">
        <f>(D46*E46+A46*F46)*F2</f>
        <v>202.29999999999998</v>
      </c>
      <c r="H46" s="13">
        <f>(D46+A46)*F2</f>
        <v>157.25</v>
      </c>
      <c r="I46" s="3">
        <f>G46*(F$1-H6/1000/3)^2</f>
        <v>1511.4057777777775</v>
      </c>
      <c r="J46" s="3">
        <f>H46*(F$1-H6/1000/3)^2</f>
        <v>1174.8322222222223</v>
      </c>
      <c r="K46" s="3">
        <f>(A46*K5+D46)*F2*(F$1-H6/1000/3)^2</f>
        <v>768.4037777777777</v>
      </c>
      <c r="L46" s="3">
        <f>G46*(F$1-2*H6/1000/3)^2</f>
        <v>1230.8831111111112</v>
      </c>
      <c r="M46" s="3">
        <f>H46*(F$1-2*H6/1000/3)^2</f>
        <v>956.778888888889</v>
      </c>
      <c r="N46" s="3">
        <f>(D46+A46*K5)*F2*(F1-2*H6/1000/3)^2</f>
        <v>625.7851111111112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BO46" s="3"/>
      <c r="BP46" s="3"/>
      <c r="BQ46" s="3"/>
      <c r="BR46" s="3"/>
      <c r="BS46" s="3"/>
      <c r="BT46" s="3"/>
      <c r="BU46" s="3"/>
      <c r="BV46" s="3"/>
      <c r="BW46" s="45"/>
      <c r="BX46" s="3"/>
      <c r="BY46" s="3"/>
      <c r="BZ46" s="3"/>
      <c r="CA46" s="3"/>
      <c r="CB46" s="3"/>
      <c r="CC46" s="3"/>
      <c r="CD46" s="3"/>
      <c r="CE46" s="8"/>
      <c r="CF46" s="8"/>
      <c r="CG46" s="8"/>
      <c r="CH46" s="8"/>
      <c r="CI46" s="8"/>
    </row>
    <row r="47" spans="1:87" s="1" customFormat="1" ht="12">
      <c r="A47" s="2"/>
      <c r="B47" s="2"/>
      <c r="C47" s="6"/>
      <c r="D47" s="6"/>
      <c r="E47" s="2"/>
      <c r="F47" s="2"/>
      <c r="G47" s="2"/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BO47" s="3"/>
      <c r="BP47" s="3"/>
      <c r="BQ47" s="3"/>
      <c r="BR47" s="3"/>
      <c r="BS47" s="3"/>
      <c r="BT47" s="3"/>
      <c r="BU47" s="3"/>
      <c r="BV47" s="3"/>
      <c r="BW47" s="45"/>
      <c r="BX47" s="3"/>
      <c r="BY47" s="3"/>
      <c r="BZ47" s="3"/>
      <c r="CA47" s="3"/>
      <c r="CB47" s="3"/>
      <c r="CC47" s="3"/>
      <c r="CD47" s="3"/>
      <c r="CE47" s="8"/>
      <c r="CF47" s="8"/>
      <c r="CG47" s="8"/>
      <c r="CH47" s="8"/>
      <c r="CI47" s="8"/>
    </row>
    <row r="48" spans="2:72" s="1" customFormat="1" ht="14.25" customHeight="1">
      <c r="B48" s="336" t="s">
        <v>172</v>
      </c>
      <c r="C48" s="337"/>
      <c r="D48" s="337"/>
      <c r="E48" s="337"/>
      <c r="F48" s="337"/>
      <c r="G48" s="337"/>
      <c r="H48" s="337"/>
      <c r="I48" s="338"/>
      <c r="L48" s="7"/>
      <c r="M48" s="7"/>
      <c r="BO48" s="3"/>
      <c r="BP48" s="3"/>
      <c r="BS48" s="3"/>
      <c r="BT48" s="3"/>
    </row>
    <row r="49" spans="2:72" s="1" customFormat="1" ht="14.25">
      <c r="B49" s="1" t="s">
        <v>58</v>
      </c>
      <c r="C49" s="15"/>
      <c r="D49" s="15"/>
      <c r="E49" s="15"/>
      <c r="F49" s="118" t="s">
        <v>59</v>
      </c>
      <c r="G49" s="119"/>
      <c r="H49" s="119"/>
      <c r="I49" s="119"/>
      <c r="L49" s="7"/>
      <c r="M49" s="7"/>
      <c r="BO49" s="3"/>
      <c r="BP49" s="3"/>
      <c r="BS49" s="3"/>
      <c r="BT49" s="3"/>
    </row>
    <row r="50" spans="2:72" s="1" customFormat="1" ht="12">
      <c r="B50" s="1" t="s">
        <v>91</v>
      </c>
      <c r="D50" s="1" t="s">
        <v>92</v>
      </c>
      <c r="F50" s="118" t="s">
        <v>91</v>
      </c>
      <c r="G50" s="118"/>
      <c r="H50" s="118" t="s">
        <v>92</v>
      </c>
      <c r="I50" s="118"/>
      <c r="L50" s="7"/>
      <c r="M50" s="7"/>
      <c r="BO50" s="3"/>
      <c r="BP50" s="3"/>
      <c r="BS50" s="3"/>
      <c r="BT50" s="3"/>
    </row>
    <row r="51" spans="2:72" s="1" customFormat="1" ht="12">
      <c r="B51" s="2" t="s">
        <v>56</v>
      </c>
      <c r="C51" s="2" t="s">
        <v>53</v>
      </c>
      <c r="D51" s="2" t="s">
        <v>56</v>
      </c>
      <c r="E51" s="2" t="s">
        <v>53</v>
      </c>
      <c r="F51" s="120" t="s">
        <v>54</v>
      </c>
      <c r="G51" s="120" t="s">
        <v>57</v>
      </c>
      <c r="H51" s="120" t="s">
        <v>54</v>
      </c>
      <c r="I51" s="120" t="s">
        <v>57</v>
      </c>
      <c r="L51" s="7"/>
      <c r="M51" s="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BO51" s="3"/>
      <c r="BP51" s="3"/>
      <c r="BS51" s="3"/>
      <c r="BT51" s="3"/>
    </row>
    <row r="52" spans="2:72" s="1" customFormat="1" ht="12">
      <c r="B52" s="2" t="s">
        <v>93</v>
      </c>
      <c r="C52" s="2" t="s">
        <v>93</v>
      </c>
      <c r="D52" s="2" t="s">
        <v>93</v>
      </c>
      <c r="E52" s="2" t="s">
        <v>93</v>
      </c>
      <c r="F52" s="120" t="s">
        <v>93</v>
      </c>
      <c r="G52" s="120" t="s">
        <v>93</v>
      </c>
      <c r="H52" s="120" t="s">
        <v>93</v>
      </c>
      <c r="I52" s="120" t="s">
        <v>93</v>
      </c>
      <c r="L52" s="7"/>
      <c r="M52" s="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BO52" s="3"/>
      <c r="BP52" s="3"/>
      <c r="BS52" s="3"/>
      <c r="BT52" s="3"/>
    </row>
    <row r="53" spans="1:13" s="1" customFormat="1" ht="12.75">
      <c r="A53" s="7" t="s">
        <v>51</v>
      </c>
      <c r="B53" s="1">
        <f>IF('混凝土强度和模量'!$I$35=1,INDEX('弯矩系数'!E$3:E$5,'混凝土强度和模量'!$J$27),IF('混凝土强度和模量'!$I$35=2,INDEX('弯矩系数'!E26:E27,'混凝土强度和模量'!$J$27),IF('混凝土强度和模量'!$I$35=3,INDEX('弯矩系数'!E34:E35,'混凝土强度和模量'!$J$27),INDEX('弯矩系数'!E44:E45,'混凝土强度和模量'!$J$27))))</f>
        <v>0.10490000000000001</v>
      </c>
      <c r="C53" s="1">
        <f>IF('混凝土强度和模量'!$I$35=1,INDEX('弯矩系数'!B3:B5,'混凝土强度和模量'!$J$27),IF('混凝土强度和模量'!$I$35=2,INDEX('弯矩系数'!B26:B27,'混凝土强度和模量'!$J$27),IF('混凝土强度和模量'!$I$35=3,INDEX('弯矩系数'!B34:B35,'混凝土强度和模量'!$J$27),INDEX('弯矩系数'!B44:B45,'混凝土强度和模量'!$J$27))))</f>
        <v>0.0779</v>
      </c>
      <c r="D53" s="1">
        <f>B53</f>
        <v>0.10490000000000001</v>
      </c>
      <c r="E53" s="1">
        <f>C53</f>
        <v>0.0779</v>
      </c>
      <c r="F53" s="1">
        <f>IF('混凝土强度和模量'!$I$35=1,INDEX('弯矩系数'!F3:F5,'混凝土强度和模量'!$J$27),IF('混凝土强度和模量'!$I$35=2,INDEX('弯矩系数'!F26:F27,'混凝土强度和模量'!$J$27),IF('混凝土强度和模量'!$I$35=3,INDEX('弯矩系数'!F34:F35,'混凝土强度和模量'!$J$27),INDEX('弯矩系数'!F44:F45,'混凝土强度和模量'!$J$27))))</f>
        <v>0.0791</v>
      </c>
      <c r="G53" s="1">
        <f>IF('混凝土强度和模量'!$I$35=1,INDEX('弯矩系数'!D3:D5,'混凝土强度和模量'!$J$27),IF('混凝土强度和模量'!$I$35=2,INDEX('弯矩系数'!D26:D27,'混凝土强度和模量'!$J$27),IF('混凝土强度和模量'!$I$35=3,INDEX('弯矩系数'!D34:D35,'混凝土强度和模量'!$J$27),INDEX('弯矩系数'!D44:D455,'混凝土强度和模量'!$J$27))))</f>
        <v>0.046900000000000004</v>
      </c>
      <c r="H53" s="1">
        <f>F53</f>
        <v>0.0791</v>
      </c>
      <c r="I53" s="1">
        <f>G53</f>
        <v>0.046900000000000004</v>
      </c>
      <c r="M53" s="55"/>
    </row>
    <row r="54" spans="1:72" s="1" customFormat="1" ht="12">
      <c r="A54" s="7" t="s">
        <v>231</v>
      </c>
      <c r="B54" s="1">
        <v>0.75</v>
      </c>
      <c r="C54" s="1">
        <v>0.55</v>
      </c>
      <c r="D54" s="1">
        <v>0.25</v>
      </c>
      <c r="E54" s="1">
        <v>0.45</v>
      </c>
      <c r="F54" s="8">
        <v>0.75</v>
      </c>
      <c r="G54" s="8">
        <v>0.55</v>
      </c>
      <c r="H54" s="8">
        <v>0.25</v>
      </c>
      <c r="I54" s="8">
        <v>0.45</v>
      </c>
      <c r="L54" s="7"/>
      <c r="M54" s="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BO54" s="3"/>
      <c r="BP54" s="3"/>
      <c r="BS54" s="3"/>
      <c r="BT54" s="3"/>
    </row>
    <row r="55" spans="1:9" s="1" customFormat="1" ht="12">
      <c r="A55" s="7" t="s">
        <v>232</v>
      </c>
      <c r="B55" s="1">
        <f>$L$1</f>
        <v>1</v>
      </c>
      <c r="C55" s="1">
        <f>1+(1-B55)</f>
        <v>1</v>
      </c>
      <c r="D55" s="1">
        <f>$L$1</f>
        <v>1</v>
      </c>
      <c r="E55" s="1">
        <f>1+(1-D55)</f>
        <v>1</v>
      </c>
      <c r="F55" s="8">
        <f>$L$1</f>
        <v>1</v>
      </c>
      <c r="G55" s="8">
        <f>1+(1-F55)</f>
        <v>1</v>
      </c>
      <c r="H55" s="8">
        <f>$L$1</f>
        <v>1</v>
      </c>
      <c r="I55" s="8">
        <f>1+(1-H55)</f>
        <v>1</v>
      </c>
    </row>
    <row r="56" spans="1:9" s="1" customFormat="1" ht="12">
      <c r="A56" s="7" t="s">
        <v>233</v>
      </c>
      <c r="B56" s="61">
        <f aca="true" t="shared" si="10" ref="B56:I56">B53*B54*B55</f>
        <v>0.07867500000000001</v>
      </c>
      <c r="C56" s="61">
        <f t="shared" si="10"/>
        <v>0.042845</v>
      </c>
      <c r="D56" s="61">
        <f t="shared" si="10"/>
        <v>0.026225000000000002</v>
      </c>
      <c r="E56" s="61">
        <f t="shared" si="10"/>
        <v>0.035055</v>
      </c>
      <c r="F56" s="121">
        <f t="shared" si="10"/>
        <v>0.059325</v>
      </c>
      <c r="G56" s="121">
        <f t="shared" si="10"/>
        <v>0.025795000000000005</v>
      </c>
      <c r="H56" s="121">
        <f t="shared" si="10"/>
        <v>0.019775</v>
      </c>
      <c r="I56" s="121">
        <f t="shared" si="10"/>
        <v>0.021105000000000002</v>
      </c>
    </row>
    <row r="57" spans="1:37" s="1" customFormat="1" ht="12">
      <c r="A57" s="7" t="s">
        <v>122</v>
      </c>
      <c r="B57" s="3">
        <f>$I$46*B53</f>
        <v>158.54646608888888</v>
      </c>
      <c r="C57" s="3">
        <f>$I$46*C53</f>
        <v>117.73851008888886</v>
      </c>
      <c r="D57" s="3">
        <f>$I$46*D53</f>
        <v>158.54646608888888</v>
      </c>
      <c r="E57" s="3">
        <f>$I$46*E53</f>
        <v>117.73851008888886</v>
      </c>
      <c r="F57" s="122">
        <f>$L$46*F53</f>
        <v>97.36285408888891</v>
      </c>
      <c r="G57" s="122">
        <f>$L$46*G53</f>
        <v>57.72841791111112</v>
      </c>
      <c r="H57" s="122">
        <f>$L$46*H53</f>
        <v>97.36285408888891</v>
      </c>
      <c r="I57" s="122">
        <f>$L$46*I53</f>
        <v>57.72841791111112</v>
      </c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1" customFormat="1" ht="12">
      <c r="A58" s="7" t="s">
        <v>123</v>
      </c>
      <c r="B58" s="3">
        <f>B57*B55</f>
        <v>158.54646608888888</v>
      </c>
      <c r="C58" s="3">
        <f>C57*C55</f>
        <v>117.73851008888886</v>
      </c>
      <c r="D58" s="3">
        <f>D57*D55</f>
        <v>158.54646608888888</v>
      </c>
      <c r="E58" s="3">
        <f>E57*E55</f>
        <v>117.73851008888886</v>
      </c>
      <c r="F58" s="178">
        <f>F57*F55</f>
        <v>97.36285408888891</v>
      </c>
      <c r="G58" s="178">
        <f>G57+(F57-F58)</f>
        <v>57.72841791111112</v>
      </c>
      <c r="H58" s="178">
        <f>H57*H55</f>
        <v>97.36285408888891</v>
      </c>
      <c r="I58" s="178">
        <f>I57+(H57-H58)</f>
        <v>57.72841791111112</v>
      </c>
      <c r="L58" s="2"/>
      <c r="M58" s="2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9" s="1" customFormat="1" ht="12">
      <c r="A59" s="7" t="s">
        <v>124</v>
      </c>
      <c r="B59" s="3">
        <f aca="true" t="shared" si="11" ref="B59:I59">B58*B54</f>
        <v>118.90984956666665</v>
      </c>
      <c r="C59" s="3">
        <f t="shared" si="11"/>
        <v>64.75618054888888</v>
      </c>
      <c r="D59" s="3">
        <f t="shared" si="11"/>
        <v>39.63661652222222</v>
      </c>
      <c r="E59" s="3">
        <f t="shared" si="11"/>
        <v>52.98232953999999</v>
      </c>
      <c r="F59" s="178">
        <f t="shared" si="11"/>
        <v>73.02214056666668</v>
      </c>
      <c r="G59" s="178">
        <f t="shared" si="11"/>
        <v>31.75062985111112</v>
      </c>
      <c r="H59" s="178">
        <f t="shared" si="11"/>
        <v>24.340713522222227</v>
      </c>
      <c r="I59" s="178">
        <f t="shared" si="11"/>
        <v>25.977788060000005</v>
      </c>
    </row>
    <row r="60" spans="1:37" s="1" customFormat="1" ht="12">
      <c r="A60" s="7" t="s">
        <v>125</v>
      </c>
      <c r="B60" s="3">
        <f aca="true" t="shared" si="12" ref="B60:I60">B59/($F$2/2)</f>
        <v>69.94697033333333</v>
      </c>
      <c r="C60" s="3">
        <f t="shared" si="12"/>
        <v>38.09187091111111</v>
      </c>
      <c r="D60" s="3">
        <f t="shared" si="12"/>
        <v>23.315656777777775</v>
      </c>
      <c r="E60" s="3">
        <f t="shared" si="12"/>
        <v>31.166076199999992</v>
      </c>
      <c r="F60" s="178">
        <f t="shared" si="12"/>
        <v>42.95420033333334</v>
      </c>
      <c r="G60" s="178">
        <f t="shared" si="12"/>
        <v>18.676841088888896</v>
      </c>
      <c r="H60" s="178">
        <f t="shared" si="12"/>
        <v>14.318066777777782</v>
      </c>
      <c r="I60" s="178">
        <f t="shared" si="12"/>
        <v>15.281051800000004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1" customFormat="1" ht="12">
      <c r="A61" s="1" t="s">
        <v>77</v>
      </c>
      <c r="B61" s="3">
        <f aca="true" t="shared" si="13" ref="B61:I61">$F$3</f>
        <v>250</v>
      </c>
      <c r="C61" s="3">
        <f t="shared" si="13"/>
        <v>250</v>
      </c>
      <c r="D61" s="3">
        <f t="shared" si="13"/>
        <v>250</v>
      </c>
      <c r="E61" s="3">
        <f t="shared" si="13"/>
        <v>250</v>
      </c>
      <c r="F61" s="122">
        <f t="shared" si="13"/>
        <v>250</v>
      </c>
      <c r="G61" s="122">
        <f t="shared" si="13"/>
        <v>250</v>
      </c>
      <c r="H61" s="122">
        <f t="shared" si="13"/>
        <v>250</v>
      </c>
      <c r="I61" s="122">
        <f t="shared" si="13"/>
        <v>250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9" s="1" customFormat="1" ht="12">
      <c r="A62" s="1" t="s">
        <v>60</v>
      </c>
      <c r="B62" s="3">
        <f aca="true" t="shared" si="14" ref="B62:I62">B61-$K$2-$N$1/2</f>
        <v>204</v>
      </c>
      <c r="C62" s="3">
        <f t="shared" si="14"/>
        <v>204</v>
      </c>
      <c r="D62" s="3">
        <f t="shared" si="14"/>
        <v>204</v>
      </c>
      <c r="E62" s="3">
        <f t="shared" si="14"/>
        <v>204</v>
      </c>
      <c r="F62" s="122">
        <f t="shared" si="14"/>
        <v>204</v>
      </c>
      <c r="G62" s="122">
        <f t="shared" si="14"/>
        <v>204</v>
      </c>
      <c r="H62" s="122">
        <f t="shared" si="14"/>
        <v>204</v>
      </c>
      <c r="I62" s="122">
        <f t="shared" si="14"/>
        <v>204</v>
      </c>
    </row>
    <row r="63" spans="1:9" s="1" customFormat="1" ht="12">
      <c r="A63" s="2" t="s">
        <v>103</v>
      </c>
      <c r="B63" s="61">
        <f aca="true" t="shared" si="15" ref="B63:I63">B62-(B62^2-2*B60*1000000/($Q$6*1000))^0.5</f>
        <v>25.58137163853391</v>
      </c>
      <c r="C63" s="61">
        <f t="shared" si="15"/>
        <v>13.504683504193196</v>
      </c>
      <c r="D63" s="61">
        <f t="shared" si="15"/>
        <v>8.155497952766154</v>
      </c>
      <c r="E63" s="61">
        <f t="shared" si="15"/>
        <v>10.97899538191129</v>
      </c>
      <c r="F63" s="121">
        <f t="shared" si="15"/>
        <v>15.29806695796799</v>
      </c>
      <c r="G63" s="121">
        <f t="shared" si="15"/>
        <v>6.506064920559169</v>
      </c>
      <c r="H63" s="121">
        <f t="shared" si="15"/>
        <v>4.968662824335183</v>
      </c>
      <c r="I63" s="121">
        <f t="shared" si="15"/>
        <v>5.307297672909101</v>
      </c>
    </row>
    <row r="64" spans="1:9" s="1" customFormat="1" ht="12">
      <c r="A64" s="2" t="s">
        <v>378</v>
      </c>
      <c r="B64" s="61">
        <f aca="true" t="shared" si="16" ref="B64:I64">B63/B62</f>
        <v>0.12539888058104856</v>
      </c>
      <c r="C64" s="61">
        <f t="shared" si="16"/>
        <v>0.06619942894212351</v>
      </c>
      <c r="D64" s="61">
        <f t="shared" si="16"/>
        <v>0.03997793114101056</v>
      </c>
      <c r="E64" s="61">
        <f t="shared" si="16"/>
        <v>0.053818604813290635</v>
      </c>
      <c r="F64" s="61">
        <f t="shared" si="16"/>
        <v>0.07499052430376466</v>
      </c>
      <c r="G64" s="61">
        <f t="shared" si="16"/>
        <v>0.03189247510078024</v>
      </c>
      <c r="H64" s="61">
        <f t="shared" si="16"/>
        <v>0.024356190315368547</v>
      </c>
      <c r="I64" s="61">
        <f t="shared" si="16"/>
        <v>0.026016165063279906</v>
      </c>
    </row>
    <row r="65" spans="1:9" s="1" customFormat="1" ht="12">
      <c r="A65" s="2" t="s">
        <v>379</v>
      </c>
      <c r="B65" s="61">
        <f aca="true" t="shared" si="17" ref="B65:I65">B64*(1-0.5*B64)</f>
        <v>0.11753644095555851</v>
      </c>
      <c r="C65" s="61">
        <f t="shared" si="17"/>
        <v>0.06400824674599188</v>
      </c>
      <c r="D65" s="61">
        <f t="shared" si="17"/>
        <v>0.03917881365185287</v>
      </c>
      <c r="E65" s="61">
        <f t="shared" si="17"/>
        <v>0.05237038370126606</v>
      </c>
      <c r="F65" s="61">
        <f t="shared" si="17"/>
        <v>0.0721787349360879</v>
      </c>
      <c r="G65" s="61">
        <f t="shared" si="17"/>
        <v>0.031383910116753296</v>
      </c>
      <c r="H65" s="61">
        <f t="shared" si="17"/>
        <v>0.02405957831202932</v>
      </c>
      <c r="I65" s="61">
        <f t="shared" si="17"/>
        <v>0.025677744640979994</v>
      </c>
    </row>
    <row r="66" spans="1:9" s="1" customFormat="1" ht="12">
      <c r="A66" s="2" t="s">
        <v>380</v>
      </c>
      <c r="B66" s="61">
        <f aca="true" t="shared" si="18" ref="B66:I66">1-0.58*B64</f>
        <v>0.9272686492629918</v>
      </c>
      <c r="C66" s="61">
        <f t="shared" si="18"/>
        <v>0.9616043312135684</v>
      </c>
      <c r="D66" s="61">
        <f t="shared" si="18"/>
        <v>0.9768127999382139</v>
      </c>
      <c r="E66" s="61">
        <f t="shared" si="18"/>
        <v>0.9687852092082915</v>
      </c>
      <c r="F66" s="61">
        <f t="shared" si="18"/>
        <v>0.9565054959038165</v>
      </c>
      <c r="G66" s="61">
        <f t="shared" si="18"/>
        <v>0.9815023644415475</v>
      </c>
      <c r="H66" s="61">
        <f t="shared" si="18"/>
        <v>0.9858734096170862</v>
      </c>
      <c r="I66" s="61">
        <f t="shared" si="18"/>
        <v>0.9849106242632977</v>
      </c>
    </row>
    <row r="67" spans="1:9" s="1" customFormat="1" ht="12">
      <c r="A67" s="2" t="s">
        <v>110</v>
      </c>
      <c r="B67" s="275">
        <f aca="true" t="shared" si="19" ref="B67:I67">$Q$6*1000*B63/$T$6</f>
        <v>1219.3787147701164</v>
      </c>
      <c r="C67" s="275">
        <f t="shared" si="19"/>
        <v>643.723247033209</v>
      </c>
      <c r="D67" s="275">
        <f t="shared" si="19"/>
        <v>388.7454024151867</v>
      </c>
      <c r="E67" s="275">
        <f t="shared" si="19"/>
        <v>523.3321132044382</v>
      </c>
      <c r="F67" s="275">
        <f t="shared" si="19"/>
        <v>729.2078583298076</v>
      </c>
      <c r="G67" s="275">
        <f t="shared" si="19"/>
        <v>310.122427879987</v>
      </c>
      <c r="H67" s="275">
        <f t="shared" si="19"/>
        <v>236.83959462664376</v>
      </c>
      <c r="I67" s="275">
        <f t="shared" si="19"/>
        <v>252.98118907533382</v>
      </c>
    </row>
    <row r="68" s="1" customFormat="1" ht="12"/>
    <row r="69" s="1" customFormat="1" ht="12"/>
    <row r="70" s="1" customFormat="1" ht="12"/>
    <row r="72" s="1" customFormat="1" ht="12"/>
    <row r="73" s="1" customFormat="1" ht="12"/>
    <row r="74" spans="2:9" s="1" customFormat="1" ht="12">
      <c r="B74" s="6"/>
      <c r="C74" s="6"/>
      <c r="D74" s="6"/>
      <c r="E74" s="6"/>
      <c r="F74" s="6"/>
      <c r="G74" s="6"/>
      <c r="H74" s="6"/>
      <c r="I74" s="6"/>
    </row>
    <row r="75" s="1" customFormat="1" ht="12"/>
    <row r="76" spans="1:13" s="1" customFormat="1" ht="12.75">
      <c r="A76" s="2"/>
      <c r="B76" s="6"/>
      <c r="C76" s="6"/>
      <c r="D76" s="6"/>
      <c r="E76" s="6"/>
      <c r="F76" s="6"/>
      <c r="G76" s="6"/>
      <c r="H76" s="6"/>
      <c r="I76" s="6"/>
      <c r="M76" s="55"/>
    </row>
    <row r="77" spans="1:13" s="1" customFormat="1" ht="12.75">
      <c r="A77" s="2"/>
      <c r="B77" s="6"/>
      <c r="C77" s="6"/>
      <c r="D77" s="6"/>
      <c r="E77" s="6"/>
      <c r="F77" s="6"/>
      <c r="G77" s="6"/>
      <c r="H77" s="6"/>
      <c r="I77" s="6"/>
      <c r="M77" s="55"/>
    </row>
    <row r="78" spans="2:13" s="1" customFormat="1" ht="14.25" customHeight="1">
      <c r="B78" s="336" t="s">
        <v>173</v>
      </c>
      <c r="C78" s="337"/>
      <c r="D78" s="337"/>
      <c r="E78" s="337"/>
      <c r="F78" s="337"/>
      <c r="G78" s="337"/>
      <c r="H78" s="337"/>
      <c r="I78" s="338"/>
      <c r="M78" s="55"/>
    </row>
    <row r="79" spans="2:13" s="1" customFormat="1" ht="14.25">
      <c r="B79" s="1" t="s">
        <v>58</v>
      </c>
      <c r="C79" s="15"/>
      <c r="D79" s="15"/>
      <c r="E79" s="15"/>
      <c r="F79" s="179" t="s">
        <v>59</v>
      </c>
      <c r="G79" s="180"/>
      <c r="H79" s="180"/>
      <c r="I79" s="180"/>
      <c r="M79" s="55"/>
    </row>
    <row r="80" spans="2:13" s="1" customFormat="1" ht="12.75">
      <c r="B80" s="1" t="s">
        <v>91</v>
      </c>
      <c r="D80" s="1" t="s">
        <v>92</v>
      </c>
      <c r="F80" s="118" t="s">
        <v>91</v>
      </c>
      <c r="G80" s="118"/>
      <c r="H80" s="118" t="s">
        <v>92</v>
      </c>
      <c r="I80" s="118"/>
      <c r="M80" s="55"/>
    </row>
    <row r="81" spans="2:13" s="1" customFormat="1" ht="12.75">
      <c r="B81" s="2" t="s">
        <v>56</v>
      </c>
      <c r="C81" s="2" t="s">
        <v>53</v>
      </c>
      <c r="D81" s="2" t="s">
        <v>56</v>
      </c>
      <c r="E81" s="2" t="s">
        <v>53</v>
      </c>
      <c r="F81" s="120" t="s">
        <v>54</v>
      </c>
      <c r="G81" s="120" t="s">
        <v>57</v>
      </c>
      <c r="H81" s="120" t="s">
        <v>54</v>
      </c>
      <c r="I81" s="120" t="s">
        <v>57</v>
      </c>
      <c r="M81" s="55"/>
    </row>
    <row r="82" spans="2:13" s="1" customFormat="1" ht="12.75">
      <c r="B82" s="2" t="s">
        <v>93</v>
      </c>
      <c r="C82" s="2" t="s">
        <v>93</v>
      </c>
      <c r="D82" s="2" t="s">
        <v>93</v>
      </c>
      <c r="E82" s="2" t="s">
        <v>93</v>
      </c>
      <c r="F82" s="120" t="s">
        <v>93</v>
      </c>
      <c r="G82" s="120" t="s">
        <v>93</v>
      </c>
      <c r="H82" s="120" t="s">
        <v>93</v>
      </c>
      <c r="I82" s="120" t="s">
        <v>93</v>
      </c>
      <c r="M82" s="55"/>
    </row>
    <row r="83" spans="1:13" s="1" customFormat="1" ht="12.75">
      <c r="A83" s="7" t="s">
        <v>51</v>
      </c>
      <c r="B83" s="1">
        <f aca="true" t="shared" si="20" ref="B83:I83">B53</f>
        <v>0.10490000000000001</v>
      </c>
      <c r="C83" s="1">
        <f t="shared" si="20"/>
        <v>0.0779</v>
      </c>
      <c r="D83" s="1">
        <f t="shared" si="20"/>
        <v>0.10490000000000001</v>
      </c>
      <c r="E83" s="1">
        <f t="shared" si="20"/>
        <v>0.0779</v>
      </c>
      <c r="F83" s="1">
        <f t="shared" si="20"/>
        <v>0.0791</v>
      </c>
      <c r="G83" s="1">
        <f t="shared" si="20"/>
        <v>0.046900000000000004</v>
      </c>
      <c r="H83" s="1">
        <f t="shared" si="20"/>
        <v>0.0791</v>
      </c>
      <c r="I83" s="1">
        <f t="shared" si="20"/>
        <v>0.046900000000000004</v>
      </c>
      <c r="M83" s="55"/>
    </row>
    <row r="84" spans="1:13" s="1" customFormat="1" ht="12.75">
      <c r="A84" s="7" t="s">
        <v>229</v>
      </c>
      <c r="B84" s="1">
        <v>0.75</v>
      </c>
      <c r="C84" s="1">
        <v>0.55</v>
      </c>
      <c r="D84" s="1">
        <v>0.25</v>
      </c>
      <c r="E84" s="1">
        <v>0.45</v>
      </c>
      <c r="F84" s="1">
        <v>0.75</v>
      </c>
      <c r="G84" s="1">
        <v>0.55</v>
      </c>
      <c r="H84" s="1">
        <v>0.25</v>
      </c>
      <c r="I84" s="1">
        <v>0.45</v>
      </c>
      <c r="M84" s="55"/>
    </row>
    <row r="85" spans="1:13" s="1" customFormat="1" ht="12.75">
      <c r="A85" s="7" t="s">
        <v>121</v>
      </c>
      <c r="B85" s="1">
        <f>$L$1</f>
        <v>1</v>
      </c>
      <c r="C85" s="1">
        <f>1+(1-B85)</f>
        <v>1</v>
      </c>
      <c r="D85" s="1">
        <f>$L$1</f>
        <v>1</v>
      </c>
      <c r="E85" s="1">
        <f>1+(1-D85)</f>
        <v>1</v>
      </c>
      <c r="F85" s="1">
        <f>$L$1</f>
        <v>1</v>
      </c>
      <c r="G85" s="1">
        <f>1+(1-F85)</f>
        <v>1</v>
      </c>
      <c r="H85" s="1">
        <f>$L$1</f>
        <v>1</v>
      </c>
      <c r="I85" s="1">
        <f>1+(1-H85)</f>
        <v>1</v>
      </c>
      <c r="M85" s="55"/>
    </row>
    <row r="86" spans="1:13" s="1" customFormat="1" ht="12.75">
      <c r="A86" s="7"/>
      <c r="B86" s="61">
        <f aca="true" t="shared" si="21" ref="B86:I86">B83*B84*B85</f>
        <v>0.07867500000000001</v>
      </c>
      <c r="C86" s="61">
        <f t="shared" si="21"/>
        <v>0.042845</v>
      </c>
      <c r="D86" s="61">
        <f t="shared" si="21"/>
        <v>0.026225000000000002</v>
      </c>
      <c r="E86" s="61">
        <f t="shared" si="21"/>
        <v>0.035055</v>
      </c>
      <c r="F86" s="61">
        <f t="shared" si="21"/>
        <v>0.059325</v>
      </c>
      <c r="G86" s="61">
        <f t="shared" si="21"/>
        <v>0.025795000000000005</v>
      </c>
      <c r="H86" s="61">
        <f t="shared" si="21"/>
        <v>0.019775</v>
      </c>
      <c r="I86" s="61">
        <f t="shared" si="21"/>
        <v>0.021105000000000002</v>
      </c>
      <c r="M86" s="55"/>
    </row>
    <row r="87" spans="1:9" s="15" customFormat="1" ht="14.25">
      <c r="A87" s="7" t="s">
        <v>122</v>
      </c>
      <c r="B87" s="3">
        <f>$J$46*B83</f>
        <v>123.23990011111113</v>
      </c>
      <c r="C87" s="3">
        <f>$J$46*C83</f>
        <v>91.51943011111112</v>
      </c>
      <c r="D87" s="3">
        <f>$J$46*D83</f>
        <v>123.23990011111113</v>
      </c>
      <c r="E87" s="3">
        <f>$J$46*E83</f>
        <v>91.51943011111112</v>
      </c>
      <c r="F87" s="3">
        <f>$M$46*F83</f>
        <v>75.68121011111113</v>
      </c>
      <c r="G87" s="3">
        <f>$M$46*G83</f>
        <v>44.8729298888889</v>
      </c>
      <c r="H87" s="3">
        <f>$M$46*H83</f>
        <v>75.68121011111113</v>
      </c>
      <c r="I87" s="3">
        <f>$M$46*I83</f>
        <v>44.8729298888889</v>
      </c>
    </row>
    <row r="88" spans="1:9" s="15" customFormat="1" ht="14.25">
      <c r="A88" s="7" t="s">
        <v>123</v>
      </c>
      <c r="B88" s="3">
        <f>B87*B85</f>
        <v>123.23990011111113</v>
      </c>
      <c r="C88" s="3">
        <f>C87*C85</f>
        <v>91.51943011111112</v>
      </c>
      <c r="D88" s="3">
        <f>D87*D85</f>
        <v>123.23990011111113</v>
      </c>
      <c r="E88" s="3">
        <f>E87*E85</f>
        <v>91.51943011111112</v>
      </c>
      <c r="F88" s="178">
        <f>F87*F85</f>
        <v>75.68121011111113</v>
      </c>
      <c r="G88" s="178">
        <f>G87+(F87-F88)</f>
        <v>44.8729298888889</v>
      </c>
      <c r="H88" s="178">
        <f>H87*H85</f>
        <v>75.68121011111113</v>
      </c>
      <c r="I88" s="178">
        <f>I87+(H87-H88)</f>
        <v>44.8729298888889</v>
      </c>
    </row>
    <row r="89" spans="1:9" s="15" customFormat="1" ht="14.25">
      <c r="A89" s="7" t="s">
        <v>124</v>
      </c>
      <c r="B89" s="3">
        <f aca="true" t="shared" si="22" ref="B89:I89">B88*B84</f>
        <v>92.42992508333334</v>
      </c>
      <c r="C89" s="3">
        <f t="shared" si="22"/>
        <v>50.33568656111112</v>
      </c>
      <c r="D89" s="3">
        <f t="shared" si="22"/>
        <v>30.80997502777778</v>
      </c>
      <c r="E89" s="3">
        <f t="shared" si="22"/>
        <v>41.18374355</v>
      </c>
      <c r="F89" s="178">
        <f t="shared" si="22"/>
        <v>56.76090758333335</v>
      </c>
      <c r="G89" s="178">
        <f t="shared" si="22"/>
        <v>24.680111438888897</v>
      </c>
      <c r="H89" s="178">
        <f t="shared" si="22"/>
        <v>18.920302527777782</v>
      </c>
      <c r="I89" s="178">
        <f t="shared" si="22"/>
        <v>20.192818450000004</v>
      </c>
    </row>
    <row r="90" spans="1:9" ht="14.25">
      <c r="A90" s="7" t="s">
        <v>125</v>
      </c>
      <c r="B90" s="3">
        <f aca="true" t="shared" si="23" ref="B90:I90">B89/($F$2/2)</f>
        <v>54.370544166666676</v>
      </c>
      <c r="C90" s="3">
        <f t="shared" si="23"/>
        <v>29.609227388888893</v>
      </c>
      <c r="D90" s="3">
        <f t="shared" si="23"/>
        <v>18.123514722222225</v>
      </c>
      <c r="E90" s="3">
        <f t="shared" si="23"/>
        <v>24.225731500000002</v>
      </c>
      <c r="F90" s="178">
        <f t="shared" si="23"/>
        <v>33.38876916666668</v>
      </c>
      <c r="G90" s="178">
        <f t="shared" si="23"/>
        <v>14.517712611111117</v>
      </c>
      <c r="H90" s="178">
        <f t="shared" si="23"/>
        <v>11.129589722222224</v>
      </c>
      <c r="I90" s="178">
        <f t="shared" si="23"/>
        <v>11.878128500000003</v>
      </c>
    </row>
    <row r="91" spans="1:9" ht="14.25">
      <c r="A91" s="1" t="s">
        <v>77</v>
      </c>
      <c r="B91" s="3">
        <f aca="true" t="shared" si="24" ref="B91:I91">$F$3</f>
        <v>250</v>
      </c>
      <c r="C91" s="3">
        <f t="shared" si="24"/>
        <v>250</v>
      </c>
      <c r="D91" s="3">
        <f t="shared" si="24"/>
        <v>250</v>
      </c>
      <c r="E91" s="3">
        <f t="shared" si="24"/>
        <v>250</v>
      </c>
      <c r="F91" s="3">
        <f t="shared" si="24"/>
        <v>250</v>
      </c>
      <c r="G91" s="3">
        <f t="shared" si="24"/>
        <v>250</v>
      </c>
      <c r="H91" s="3">
        <f t="shared" si="24"/>
        <v>250</v>
      </c>
      <c r="I91" s="3">
        <f t="shared" si="24"/>
        <v>250</v>
      </c>
    </row>
    <row r="92" spans="1:9" ht="14.25">
      <c r="A92" s="1" t="s">
        <v>264</v>
      </c>
      <c r="B92" s="3">
        <f aca="true" t="shared" si="25" ref="B92:I92">B91-$K$2-$N$1/2</f>
        <v>204</v>
      </c>
      <c r="C92" s="3">
        <f t="shared" si="25"/>
        <v>204</v>
      </c>
      <c r="D92" s="3">
        <f t="shared" si="25"/>
        <v>204</v>
      </c>
      <c r="E92" s="3">
        <f t="shared" si="25"/>
        <v>204</v>
      </c>
      <c r="F92" s="3">
        <f t="shared" si="25"/>
        <v>204</v>
      </c>
      <c r="G92" s="3">
        <f t="shared" si="25"/>
        <v>204</v>
      </c>
      <c r="H92" s="3">
        <f t="shared" si="25"/>
        <v>204</v>
      </c>
      <c r="I92" s="3">
        <f t="shared" si="25"/>
        <v>204</v>
      </c>
    </row>
    <row r="93" spans="1:9" ht="14.25">
      <c r="A93" s="2" t="s">
        <v>103</v>
      </c>
      <c r="B93" s="61">
        <f aca="true" t="shared" si="26" ref="B93:I93">B92-(B92^2-2*B90*1000000/($Q$6*1000))^0.5</f>
        <v>19.577311350858764</v>
      </c>
      <c r="C93" s="61">
        <f t="shared" si="26"/>
        <v>10.415782367881775</v>
      </c>
      <c r="D93" s="61">
        <f t="shared" si="26"/>
        <v>6.310236238209086</v>
      </c>
      <c r="E93" s="61">
        <f t="shared" si="26"/>
        <v>8.480727793407027</v>
      </c>
      <c r="F93" s="61">
        <f t="shared" si="26"/>
        <v>11.785947249968018</v>
      </c>
      <c r="G93" s="61">
        <f t="shared" si="26"/>
        <v>5.038821164125892</v>
      </c>
      <c r="H93" s="61">
        <f t="shared" si="26"/>
        <v>3.8515200535761664</v>
      </c>
      <c r="I93" s="61">
        <f t="shared" si="26"/>
        <v>4.113223832307284</v>
      </c>
    </row>
    <row r="94" spans="1:9" ht="14.25">
      <c r="A94" s="2" t="s">
        <v>110</v>
      </c>
      <c r="B94" s="6">
        <f aca="true" t="shared" si="27" ref="B94:I94">$Q$6*1000*B93/$T$6</f>
        <v>933.1851743909344</v>
      </c>
      <c r="C94" s="6">
        <f t="shared" si="27"/>
        <v>496.4856262023646</v>
      </c>
      <c r="D94" s="6">
        <f t="shared" si="27"/>
        <v>300.7879273546331</v>
      </c>
      <c r="E94" s="6">
        <f t="shared" si="27"/>
        <v>404.2480248190683</v>
      </c>
      <c r="F94" s="6">
        <f t="shared" si="27"/>
        <v>561.7968189151422</v>
      </c>
      <c r="G94" s="6">
        <f t="shared" si="27"/>
        <v>240.1838088233342</v>
      </c>
      <c r="H94" s="6">
        <f t="shared" si="27"/>
        <v>183.58912255379727</v>
      </c>
      <c r="I94" s="6">
        <f t="shared" si="27"/>
        <v>196.06366933998055</v>
      </c>
    </row>
    <row r="95" spans="1:20" ht="14.25">
      <c r="A95" s="1" t="s">
        <v>83</v>
      </c>
      <c r="B95" s="1">
        <f aca="true" t="shared" si="28" ref="B95:I95">MAX(0.002,45*ft/fy/100)</f>
        <v>0.0021449999999999998</v>
      </c>
      <c r="C95" s="1">
        <f t="shared" si="28"/>
        <v>0.0021449999999999998</v>
      </c>
      <c r="D95" s="1">
        <f t="shared" si="28"/>
        <v>0.0021449999999999998</v>
      </c>
      <c r="E95" s="1">
        <f t="shared" si="28"/>
        <v>0.0021449999999999998</v>
      </c>
      <c r="F95" s="1">
        <f t="shared" si="28"/>
        <v>0.0021449999999999998</v>
      </c>
      <c r="G95" s="1">
        <f t="shared" si="28"/>
        <v>0.0021449999999999998</v>
      </c>
      <c r="H95" s="1">
        <f t="shared" si="28"/>
        <v>0.0021449999999999998</v>
      </c>
      <c r="I95" s="1">
        <f t="shared" si="28"/>
        <v>0.0021449999999999998</v>
      </c>
      <c r="K95" s="54"/>
      <c r="L95" s="2"/>
      <c r="M95" s="2"/>
      <c r="N95" s="1">
        <f>IF(N58/(0.5*1000*$F$3)&lt;0.01,0.01,N58/(0.5*1000*$F$3))</f>
        <v>0.01</v>
      </c>
      <c r="O95" s="1"/>
      <c r="P95" s="1"/>
      <c r="Q95" s="1"/>
      <c r="R95" s="1"/>
      <c r="S95" s="1"/>
      <c r="T95" s="1"/>
    </row>
    <row r="96" spans="1:20" ht="14.25">
      <c r="A96" s="1" t="s">
        <v>76</v>
      </c>
      <c r="B96" s="1"/>
      <c r="C96" s="1"/>
      <c r="D96" s="1"/>
      <c r="E96" s="1"/>
      <c r="F96" s="1"/>
      <c r="G96" s="264"/>
      <c r="H96" s="1"/>
      <c r="I96" s="1"/>
      <c r="K96" s="54"/>
      <c r="L96" s="2"/>
      <c r="M96" s="2"/>
      <c r="N96" s="1"/>
      <c r="O96" s="1"/>
      <c r="P96" s="1"/>
      <c r="Q96" s="1"/>
      <c r="R96" s="1"/>
      <c r="S96" s="1"/>
      <c r="T96" s="1"/>
    </row>
    <row r="97" spans="1:20" ht="14.25">
      <c r="A97" s="1"/>
      <c r="B97" s="1"/>
      <c r="C97" s="1"/>
      <c r="D97" s="1"/>
      <c r="E97" s="1"/>
      <c r="F97" s="1"/>
      <c r="G97" s="1"/>
      <c r="H97" s="1"/>
      <c r="I97" s="1"/>
      <c r="K97" s="54"/>
      <c r="L97" s="2"/>
      <c r="M97" s="2"/>
      <c r="N97" s="1"/>
      <c r="O97" s="1"/>
      <c r="P97" s="1"/>
      <c r="Q97" s="1"/>
      <c r="R97" s="1"/>
      <c r="S97" s="1"/>
      <c r="T97" s="1"/>
    </row>
    <row r="98" spans="1:20" ht="14.25">
      <c r="A98" s="1" t="s">
        <v>261</v>
      </c>
      <c r="B98" s="1">
        <f aca="true" t="shared" si="29" ref="B98:I98">ftk</f>
        <v>2.01</v>
      </c>
      <c r="C98" s="1">
        <f t="shared" si="29"/>
        <v>2.01</v>
      </c>
      <c r="D98" s="1">
        <f t="shared" si="29"/>
        <v>2.01</v>
      </c>
      <c r="E98" s="1">
        <f t="shared" si="29"/>
        <v>2.01</v>
      </c>
      <c r="F98" s="1">
        <f t="shared" si="29"/>
        <v>2.01</v>
      </c>
      <c r="G98" s="1">
        <f t="shared" si="29"/>
        <v>2.01</v>
      </c>
      <c r="H98" s="1">
        <f t="shared" si="29"/>
        <v>2.01</v>
      </c>
      <c r="I98" s="1">
        <f t="shared" si="29"/>
        <v>2.01</v>
      </c>
      <c r="K98" s="54"/>
      <c r="L98" s="1"/>
      <c r="M98" s="1"/>
      <c r="N98" s="1"/>
      <c r="O98" s="1"/>
      <c r="P98" s="1"/>
      <c r="Q98" s="1"/>
      <c r="R98" s="1"/>
      <c r="S98" s="1"/>
      <c r="T98" s="1"/>
    </row>
    <row r="99" spans="1:20" ht="14.25">
      <c r="A99" s="1" t="s">
        <v>262</v>
      </c>
      <c r="B99" s="1">
        <f aca="true" t="shared" si="30" ref="B99:I99">Es</f>
        <v>200000</v>
      </c>
      <c r="C99" s="1">
        <f t="shared" si="30"/>
        <v>200000</v>
      </c>
      <c r="D99" s="1">
        <f t="shared" si="30"/>
        <v>200000</v>
      </c>
      <c r="E99" s="1">
        <f t="shared" si="30"/>
        <v>200000</v>
      </c>
      <c r="F99" s="1">
        <f t="shared" si="30"/>
        <v>200000</v>
      </c>
      <c r="G99" s="1">
        <f t="shared" si="30"/>
        <v>200000</v>
      </c>
      <c r="H99" s="1">
        <f t="shared" si="30"/>
        <v>200000</v>
      </c>
      <c r="I99" s="1">
        <f t="shared" si="30"/>
        <v>200000</v>
      </c>
      <c r="K99" s="54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 t="s">
        <v>145</v>
      </c>
      <c r="B100" s="1">
        <f aca="true" t="shared" si="31" ref="B100:I100">Ec</f>
        <v>30000</v>
      </c>
      <c r="C100" s="1">
        <f t="shared" si="31"/>
        <v>30000</v>
      </c>
      <c r="D100" s="1">
        <f t="shared" si="31"/>
        <v>30000</v>
      </c>
      <c r="E100" s="1">
        <f t="shared" si="31"/>
        <v>30000</v>
      </c>
      <c r="F100" s="1">
        <f t="shared" si="31"/>
        <v>30000</v>
      </c>
      <c r="G100" s="1">
        <f t="shared" si="31"/>
        <v>30000</v>
      </c>
      <c r="H100" s="1">
        <f t="shared" si="31"/>
        <v>30000</v>
      </c>
      <c r="I100" s="1">
        <f t="shared" si="31"/>
        <v>30000</v>
      </c>
      <c r="K100" s="5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K101" s="5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" t="s">
        <v>263</v>
      </c>
      <c r="B102" s="1">
        <f aca="true" t="shared" si="32" ref="B102:I102">$F$5</f>
        <v>0.3</v>
      </c>
      <c r="C102" s="1">
        <f t="shared" si="32"/>
        <v>0.3</v>
      </c>
      <c r="D102" s="1">
        <f t="shared" si="32"/>
        <v>0.3</v>
      </c>
      <c r="E102" s="1">
        <f t="shared" si="32"/>
        <v>0.3</v>
      </c>
      <c r="F102" s="1">
        <f t="shared" si="32"/>
        <v>0.3</v>
      </c>
      <c r="G102" s="1">
        <f t="shared" si="32"/>
        <v>0.3</v>
      </c>
      <c r="H102" s="1">
        <f t="shared" si="32"/>
        <v>0.3</v>
      </c>
      <c r="I102" s="1">
        <f t="shared" si="32"/>
        <v>0.3</v>
      </c>
      <c r="K102" s="5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11" ht="15">
      <c r="A103" s="1" t="s">
        <v>106</v>
      </c>
      <c r="B103" s="1">
        <f aca="true" t="shared" si="33" ref="B103:I103">1.9*$K$2+0.08*$N$1/0.01</f>
        <v>172</v>
      </c>
      <c r="C103" s="1">
        <f t="shared" si="33"/>
        <v>172</v>
      </c>
      <c r="D103" s="1">
        <f t="shared" si="33"/>
        <v>172</v>
      </c>
      <c r="E103" s="1">
        <f t="shared" si="33"/>
        <v>172</v>
      </c>
      <c r="F103" s="1">
        <f t="shared" si="33"/>
        <v>172</v>
      </c>
      <c r="G103" s="1">
        <f t="shared" si="33"/>
        <v>172</v>
      </c>
      <c r="H103" s="1">
        <f t="shared" si="33"/>
        <v>172</v>
      </c>
      <c r="I103" s="1">
        <f t="shared" si="33"/>
        <v>172</v>
      </c>
      <c r="K103" s="55"/>
    </row>
    <row r="104" spans="1:11" ht="14.25">
      <c r="A104" s="1" t="s">
        <v>107</v>
      </c>
      <c r="B104" s="6">
        <f>B102*B99/(2.1*B103)</f>
        <v>166.11295681063123</v>
      </c>
      <c r="C104" s="6">
        <f aca="true" t="shared" si="34" ref="C104:I104">$F$5*C99/(2.1*C103)</f>
        <v>166.11295681063123</v>
      </c>
      <c r="D104" s="6">
        <f t="shared" si="34"/>
        <v>166.11295681063123</v>
      </c>
      <c r="E104" s="6">
        <f t="shared" si="34"/>
        <v>166.11295681063123</v>
      </c>
      <c r="F104" s="6">
        <f t="shared" si="34"/>
        <v>166.11295681063123</v>
      </c>
      <c r="G104" s="6">
        <f t="shared" si="34"/>
        <v>166.11295681063123</v>
      </c>
      <c r="H104" s="6">
        <f t="shared" si="34"/>
        <v>166.11295681063123</v>
      </c>
      <c r="I104" s="6">
        <f t="shared" si="34"/>
        <v>166.11295681063123</v>
      </c>
      <c r="K104" s="54"/>
    </row>
    <row r="105" spans="1:9" ht="14.25">
      <c r="A105" s="1" t="s">
        <v>108</v>
      </c>
      <c r="B105" s="1">
        <f aca="true" t="shared" si="35" ref="B105:I105">0.65*B98/0.01</f>
        <v>130.65</v>
      </c>
      <c r="C105" s="1">
        <f t="shared" si="35"/>
        <v>130.65</v>
      </c>
      <c r="D105" s="1">
        <f t="shared" si="35"/>
        <v>130.65</v>
      </c>
      <c r="E105" s="1">
        <f t="shared" si="35"/>
        <v>130.65</v>
      </c>
      <c r="F105" s="1">
        <f t="shared" si="35"/>
        <v>130.65</v>
      </c>
      <c r="G105" s="1">
        <f t="shared" si="35"/>
        <v>130.65</v>
      </c>
      <c r="H105" s="1">
        <f t="shared" si="35"/>
        <v>130.65</v>
      </c>
      <c r="I105" s="1">
        <f t="shared" si="35"/>
        <v>130.65</v>
      </c>
    </row>
    <row r="106" spans="1:9" ht="14.25">
      <c r="A106" s="2" t="s">
        <v>110</v>
      </c>
      <c r="B106" s="275">
        <f aca="true" t="shared" si="36" ref="B106:I106">1.1*B90*1000000/((B104+B105)*0.87*B92)</f>
        <v>1135.5264512000215</v>
      </c>
      <c r="C106" s="275">
        <f t="shared" si="36"/>
        <v>618.3874267768023</v>
      </c>
      <c r="D106" s="275">
        <f t="shared" si="36"/>
        <v>378.5088170666739</v>
      </c>
      <c r="E106" s="275">
        <f t="shared" si="36"/>
        <v>505.95334918102003</v>
      </c>
      <c r="F106" s="275">
        <f t="shared" si="36"/>
        <v>697.3229924927956</v>
      </c>
      <c r="G106" s="275">
        <f t="shared" si="36"/>
        <v>303.2017967358055</v>
      </c>
      <c r="H106" s="275">
        <f t="shared" si="36"/>
        <v>232.4409974975985</v>
      </c>
      <c r="I106" s="275">
        <f t="shared" si="36"/>
        <v>248.0741973292954</v>
      </c>
    </row>
    <row r="108" spans="1:9" ht="14.25">
      <c r="A108" s="1"/>
      <c r="B108" s="336" t="s">
        <v>230</v>
      </c>
      <c r="C108" s="337"/>
      <c r="D108" s="337"/>
      <c r="E108" s="337"/>
      <c r="F108" s="337"/>
      <c r="G108" s="337"/>
      <c r="H108" s="337"/>
      <c r="I108" s="338"/>
    </row>
    <row r="109" spans="1:9" ht="14.25">
      <c r="A109" s="1"/>
      <c r="B109" s="1" t="s">
        <v>58</v>
      </c>
      <c r="C109" s="15"/>
      <c r="D109" s="15"/>
      <c r="E109" s="15"/>
      <c r="F109" s="1" t="s">
        <v>59</v>
      </c>
      <c r="G109" s="15"/>
      <c r="H109" s="15"/>
      <c r="I109" s="15"/>
    </row>
    <row r="110" spans="1:9" ht="14.25">
      <c r="A110" s="1"/>
      <c r="B110" s="1" t="s">
        <v>91</v>
      </c>
      <c r="C110" s="1"/>
      <c r="D110" s="1" t="s">
        <v>92</v>
      </c>
      <c r="E110" s="1"/>
      <c r="F110" s="1" t="s">
        <v>91</v>
      </c>
      <c r="G110" s="1"/>
      <c r="H110" s="1" t="s">
        <v>92</v>
      </c>
      <c r="I110" s="1"/>
    </row>
    <row r="111" spans="1:9" ht="14.25">
      <c r="A111" s="1"/>
      <c r="B111" s="2" t="s">
        <v>56</v>
      </c>
      <c r="C111" s="2" t="s">
        <v>53</v>
      </c>
      <c r="D111" s="2" t="s">
        <v>56</v>
      </c>
      <c r="E111" s="2" t="s">
        <v>53</v>
      </c>
      <c r="F111" s="2" t="s">
        <v>54</v>
      </c>
      <c r="G111" s="2" t="s">
        <v>57</v>
      </c>
      <c r="H111" s="2" t="s">
        <v>54</v>
      </c>
      <c r="I111" s="2" t="s">
        <v>57</v>
      </c>
    </row>
    <row r="112" spans="1:9" ht="14.25">
      <c r="A112" s="1"/>
      <c r="B112" s="2" t="s">
        <v>93</v>
      </c>
      <c r="C112" s="2" t="s">
        <v>93</v>
      </c>
      <c r="D112" s="2" t="s">
        <v>93</v>
      </c>
      <c r="E112" s="2" t="s">
        <v>93</v>
      </c>
      <c r="F112" s="2" t="s">
        <v>93</v>
      </c>
      <c r="G112" s="2" t="s">
        <v>93</v>
      </c>
      <c r="H112" s="2" t="s">
        <v>93</v>
      </c>
      <c r="I112" s="2" t="s">
        <v>93</v>
      </c>
    </row>
    <row r="113" spans="1:13" s="1" customFormat="1" ht="12.75">
      <c r="A113" s="7" t="s">
        <v>51</v>
      </c>
      <c r="B113" s="1">
        <f aca="true" t="shared" si="37" ref="B113:I113">B53</f>
        <v>0.10490000000000001</v>
      </c>
      <c r="C113" s="1">
        <f t="shared" si="37"/>
        <v>0.0779</v>
      </c>
      <c r="D113" s="1">
        <f t="shared" si="37"/>
        <v>0.10490000000000001</v>
      </c>
      <c r="E113" s="1">
        <f t="shared" si="37"/>
        <v>0.0779</v>
      </c>
      <c r="F113" s="1">
        <f t="shared" si="37"/>
        <v>0.0791</v>
      </c>
      <c r="G113" s="1">
        <f t="shared" si="37"/>
        <v>0.046900000000000004</v>
      </c>
      <c r="H113" s="1">
        <f t="shared" si="37"/>
        <v>0.0791</v>
      </c>
      <c r="I113" s="1">
        <f t="shared" si="37"/>
        <v>0.046900000000000004</v>
      </c>
      <c r="M113" s="55"/>
    </row>
    <row r="114" spans="1:9" ht="14.25">
      <c r="A114" s="7"/>
      <c r="B114" s="1">
        <v>0.75</v>
      </c>
      <c r="C114" s="1">
        <v>0.55</v>
      </c>
      <c r="D114" s="1">
        <v>0.25</v>
      </c>
      <c r="E114" s="1">
        <v>0.45</v>
      </c>
      <c r="F114" s="1">
        <v>0.75</v>
      </c>
      <c r="G114" s="1">
        <v>0.55</v>
      </c>
      <c r="H114" s="1">
        <v>0.25</v>
      </c>
      <c r="I114" s="1">
        <v>0.45</v>
      </c>
    </row>
    <row r="115" spans="1:9" ht="14.25">
      <c r="A115" s="7" t="s">
        <v>121</v>
      </c>
      <c r="B115" s="1">
        <f>$L$1</f>
        <v>1</v>
      </c>
      <c r="C115" s="1">
        <f>1+(1-B115)</f>
        <v>1</v>
      </c>
      <c r="D115" s="1">
        <f>$L$1</f>
        <v>1</v>
      </c>
      <c r="E115" s="1">
        <f>1+(1-D115)</f>
        <v>1</v>
      </c>
      <c r="F115" s="1">
        <f>$L$1</f>
        <v>1</v>
      </c>
      <c r="G115" s="1">
        <f>1+(1-F115)</f>
        <v>1</v>
      </c>
      <c r="H115" s="1">
        <f>$L$1</f>
        <v>1</v>
      </c>
      <c r="I115" s="1">
        <f>1+(1-H115)</f>
        <v>1</v>
      </c>
    </row>
    <row r="116" spans="1:9" ht="14.25">
      <c r="A116" s="7"/>
      <c r="B116" s="61">
        <f aca="true" t="shared" si="38" ref="B116:I116">B113*B114*B115</f>
        <v>0.07867500000000001</v>
      </c>
      <c r="C116" s="61">
        <f t="shared" si="38"/>
        <v>0.042845</v>
      </c>
      <c r="D116" s="61">
        <f t="shared" si="38"/>
        <v>0.026225000000000002</v>
      </c>
      <c r="E116" s="61">
        <f t="shared" si="38"/>
        <v>0.035055</v>
      </c>
      <c r="F116" s="61">
        <f t="shared" si="38"/>
        <v>0.059325</v>
      </c>
      <c r="G116" s="61">
        <f t="shared" si="38"/>
        <v>0.025795000000000005</v>
      </c>
      <c r="H116" s="61">
        <f t="shared" si="38"/>
        <v>0.019775</v>
      </c>
      <c r="I116" s="61">
        <f t="shared" si="38"/>
        <v>0.021105000000000002</v>
      </c>
    </row>
    <row r="117" spans="1:9" ht="14.25">
      <c r="A117" s="7" t="s">
        <v>122</v>
      </c>
      <c r="B117" s="3">
        <f aca="true" t="shared" si="39" ref="B117:I117">$J$46*B113</f>
        <v>123.23990011111113</v>
      </c>
      <c r="C117" s="3">
        <f t="shared" si="39"/>
        <v>91.51943011111112</v>
      </c>
      <c r="D117" s="3">
        <f t="shared" si="39"/>
        <v>123.23990011111113</v>
      </c>
      <c r="E117" s="3">
        <f t="shared" si="39"/>
        <v>91.51943011111112</v>
      </c>
      <c r="F117" s="3">
        <f t="shared" si="39"/>
        <v>92.9292287777778</v>
      </c>
      <c r="G117" s="3">
        <f t="shared" si="39"/>
        <v>55.09963122222223</v>
      </c>
      <c r="H117" s="3">
        <f t="shared" si="39"/>
        <v>92.9292287777778</v>
      </c>
      <c r="I117" s="3">
        <f t="shared" si="39"/>
        <v>55.09963122222223</v>
      </c>
    </row>
    <row r="118" spans="1:9" ht="14.25">
      <c r="A118" s="7" t="s">
        <v>123</v>
      </c>
      <c r="B118" s="3">
        <f>B117*B115</f>
        <v>123.23990011111113</v>
      </c>
      <c r="C118" s="3">
        <f>C117*C115</f>
        <v>91.51943011111112</v>
      </c>
      <c r="D118" s="3">
        <f>D117*D115</f>
        <v>123.23990011111113</v>
      </c>
      <c r="E118" s="3">
        <f>E117*E115</f>
        <v>91.51943011111112</v>
      </c>
      <c r="F118" s="3">
        <f>F117*F115</f>
        <v>92.9292287777778</v>
      </c>
      <c r="G118" s="3">
        <f>G117+(F117-F118)</f>
        <v>55.09963122222223</v>
      </c>
      <c r="H118" s="3">
        <f>H117*H115</f>
        <v>92.9292287777778</v>
      </c>
      <c r="I118" s="3">
        <f>I117+(H117-H118)</f>
        <v>55.09963122222223</v>
      </c>
    </row>
    <row r="119" spans="1:9" ht="14.25">
      <c r="A119" s="7" t="s">
        <v>124</v>
      </c>
      <c r="B119" s="3">
        <f aca="true" t="shared" si="40" ref="B119:I119">B118*B114</f>
        <v>92.42992508333334</v>
      </c>
      <c r="C119" s="3">
        <f t="shared" si="40"/>
        <v>50.33568656111112</v>
      </c>
      <c r="D119" s="3">
        <f t="shared" si="40"/>
        <v>30.80997502777778</v>
      </c>
      <c r="E119" s="3">
        <f t="shared" si="40"/>
        <v>41.18374355</v>
      </c>
      <c r="F119" s="3">
        <f t="shared" si="40"/>
        <v>69.69692158333335</v>
      </c>
      <c r="G119" s="3">
        <f t="shared" si="40"/>
        <v>30.304797172222226</v>
      </c>
      <c r="H119" s="3">
        <f t="shared" si="40"/>
        <v>23.23230719444445</v>
      </c>
      <c r="I119" s="3">
        <f t="shared" si="40"/>
        <v>24.794834050000002</v>
      </c>
    </row>
    <row r="120" spans="1:9" ht="14.25">
      <c r="A120" s="7" t="s">
        <v>125</v>
      </c>
      <c r="B120" s="3">
        <f aca="true" t="shared" si="41" ref="B120:I120">B119/($F$2/2)</f>
        <v>54.370544166666676</v>
      </c>
      <c r="C120" s="3">
        <f t="shared" si="41"/>
        <v>29.609227388888893</v>
      </c>
      <c r="D120" s="3">
        <f t="shared" si="41"/>
        <v>18.123514722222225</v>
      </c>
      <c r="E120" s="3">
        <f t="shared" si="41"/>
        <v>24.225731500000002</v>
      </c>
      <c r="F120" s="3">
        <f t="shared" si="41"/>
        <v>40.99818916666668</v>
      </c>
      <c r="G120" s="3">
        <f t="shared" si="41"/>
        <v>17.826351277777782</v>
      </c>
      <c r="H120" s="3">
        <f t="shared" si="41"/>
        <v>13.666063055555558</v>
      </c>
      <c r="I120" s="3">
        <f t="shared" si="41"/>
        <v>14.585196500000002</v>
      </c>
    </row>
    <row r="121" spans="1:9" ht="14.25">
      <c r="A121" s="1" t="s">
        <v>77</v>
      </c>
      <c r="B121" s="3">
        <f aca="true" t="shared" si="42" ref="B121:I121">$F$3</f>
        <v>250</v>
      </c>
      <c r="C121" s="3">
        <f t="shared" si="42"/>
        <v>250</v>
      </c>
      <c r="D121" s="3">
        <f t="shared" si="42"/>
        <v>250</v>
      </c>
      <c r="E121" s="3">
        <f t="shared" si="42"/>
        <v>250</v>
      </c>
      <c r="F121" s="3">
        <f t="shared" si="42"/>
        <v>250</v>
      </c>
      <c r="G121" s="3">
        <f t="shared" si="42"/>
        <v>250</v>
      </c>
      <c r="H121" s="3">
        <f t="shared" si="42"/>
        <v>250</v>
      </c>
      <c r="I121" s="3">
        <f t="shared" si="42"/>
        <v>250</v>
      </c>
    </row>
    <row r="122" spans="1:9" ht="14.25">
      <c r="A122" s="1" t="s">
        <v>60</v>
      </c>
      <c r="B122" s="3">
        <f aca="true" t="shared" si="43" ref="B122:I122">B121-$K$2-$N$1/2</f>
        <v>204</v>
      </c>
      <c r="C122" s="3">
        <f t="shared" si="43"/>
        <v>204</v>
      </c>
      <c r="D122" s="3">
        <f t="shared" si="43"/>
        <v>204</v>
      </c>
      <c r="E122" s="3">
        <f t="shared" si="43"/>
        <v>204</v>
      </c>
      <c r="F122" s="3">
        <f t="shared" si="43"/>
        <v>204</v>
      </c>
      <c r="G122" s="3">
        <f t="shared" si="43"/>
        <v>204</v>
      </c>
      <c r="H122" s="3">
        <f t="shared" si="43"/>
        <v>204</v>
      </c>
      <c r="I122" s="3">
        <f t="shared" si="43"/>
        <v>204</v>
      </c>
    </row>
    <row r="123" spans="1:9" ht="14.25">
      <c r="A123" s="2" t="s">
        <v>103</v>
      </c>
      <c r="B123" s="61">
        <f aca="true" t="shared" si="44" ref="B123:I123">B122-(B122^2-2*B120*1000000/($Q$6*1000))^0.5</f>
        <v>19.577311350858764</v>
      </c>
      <c r="C123" s="61">
        <f t="shared" si="44"/>
        <v>10.415782367881775</v>
      </c>
      <c r="D123" s="61">
        <f t="shared" si="44"/>
        <v>6.310236238209086</v>
      </c>
      <c r="E123" s="61">
        <f t="shared" si="44"/>
        <v>8.480727793407027</v>
      </c>
      <c r="F123" s="61">
        <f t="shared" si="44"/>
        <v>14.57458584145175</v>
      </c>
      <c r="G123" s="61">
        <f t="shared" si="44"/>
        <v>6.205146636485978</v>
      </c>
      <c r="H123" s="61">
        <f t="shared" si="44"/>
        <v>4.7397116590651365</v>
      </c>
      <c r="I123" s="61">
        <f t="shared" si="44"/>
        <v>5.062541542266672</v>
      </c>
    </row>
    <row r="124" spans="1:9" ht="14.25">
      <c r="A124" s="2" t="s">
        <v>110</v>
      </c>
      <c r="B124" s="6">
        <f aca="true" t="shared" si="45" ref="B124:I124">$Q$6*1000*B123/$T$6</f>
        <v>933.1851743909344</v>
      </c>
      <c r="C124" s="6">
        <f t="shared" si="45"/>
        <v>496.4856262023646</v>
      </c>
      <c r="D124" s="6">
        <f t="shared" si="45"/>
        <v>300.7879273546331</v>
      </c>
      <c r="E124" s="6">
        <f t="shared" si="45"/>
        <v>404.2480248190683</v>
      </c>
      <c r="F124" s="6">
        <f t="shared" si="45"/>
        <v>694.7219251092</v>
      </c>
      <c r="G124" s="6">
        <f t="shared" si="45"/>
        <v>295.7786563391649</v>
      </c>
      <c r="H124" s="6">
        <f t="shared" si="45"/>
        <v>225.9262557487715</v>
      </c>
      <c r="I124" s="6">
        <f t="shared" si="45"/>
        <v>241.31448018137803</v>
      </c>
    </row>
    <row r="125" spans="1:9" ht="14.25">
      <c r="A125" s="1" t="s">
        <v>83</v>
      </c>
      <c r="B125" s="1">
        <f aca="true" t="shared" si="46" ref="B125:I125">MAX(0.002,45*ft/fy/100)</f>
        <v>0.0021449999999999998</v>
      </c>
      <c r="C125" s="1">
        <f t="shared" si="46"/>
        <v>0.0021449999999999998</v>
      </c>
      <c r="D125" s="1">
        <f t="shared" si="46"/>
        <v>0.0021449999999999998</v>
      </c>
      <c r="E125" s="1">
        <f t="shared" si="46"/>
        <v>0.0021449999999999998</v>
      </c>
      <c r="F125" s="1">
        <f t="shared" si="46"/>
        <v>0.0021449999999999998</v>
      </c>
      <c r="G125" s="1">
        <f t="shared" si="46"/>
        <v>0.0021449999999999998</v>
      </c>
      <c r="H125" s="1">
        <f t="shared" si="46"/>
        <v>0.0021449999999999998</v>
      </c>
      <c r="I125" s="1">
        <f t="shared" si="46"/>
        <v>0.0021449999999999998</v>
      </c>
    </row>
    <row r="126" spans="1:9" ht="14.25">
      <c r="A126" s="1" t="s">
        <v>76</v>
      </c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 t="s">
        <v>6</v>
      </c>
      <c r="B128" s="1">
        <f aca="true" t="shared" si="47" ref="B128:I128">ftk</f>
        <v>2.01</v>
      </c>
      <c r="C128" s="1">
        <f t="shared" si="47"/>
        <v>2.01</v>
      </c>
      <c r="D128" s="1">
        <f t="shared" si="47"/>
        <v>2.01</v>
      </c>
      <c r="E128" s="1">
        <f t="shared" si="47"/>
        <v>2.01</v>
      </c>
      <c r="F128" s="1">
        <f t="shared" si="47"/>
        <v>2.01</v>
      </c>
      <c r="G128" s="1">
        <f t="shared" si="47"/>
        <v>2.01</v>
      </c>
      <c r="H128" s="1">
        <f t="shared" si="47"/>
        <v>2.01</v>
      </c>
      <c r="I128" s="1">
        <f t="shared" si="47"/>
        <v>2.01</v>
      </c>
    </row>
    <row r="129" spans="1:9" ht="14.25">
      <c r="A129" s="1" t="s">
        <v>28</v>
      </c>
      <c r="B129" s="1">
        <f aca="true" t="shared" si="48" ref="B129:I129">Es</f>
        <v>200000</v>
      </c>
      <c r="C129" s="1">
        <f t="shared" si="48"/>
        <v>200000</v>
      </c>
      <c r="D129" s="1">
        <f t="shared" si="48"/>
        <v>200000</v>
      </c>
      <c r="E129" s="1">
        <f t="shared" si="48"/>
        <v>200000</v>
      </c>
      <c r="F129" s="1">
        <f t="shared" si="48"/>
        <v>200000</v>
      </c>
      <c r="G129" s="1">
        <f t="shared" si="48"/>
        <v>200000</v>
      </c>
      <c r="H129" s="1">
        <f t="shared" si="48"/>
        <v>200000</v>
      </c>
      <c r="I129" s="1">
        <f t="shared" si="48"/>
        <v>200000</v>
      </c>
    </row>
    <row r="130" spans="1:9" ht="14.25">
      <c r="A130" s="1" t="s">
        <v>145</v>
      </c>
      <c r="B130" s="1">
        <f aca="true" t="shared" si="49" ref="B130:I130">Ec</f>
        <v>30000</v>
      </c>
      <c r="C130" s="1">
        <f t="shared" si="49"/>
        <v>30000</v>
      </c>
      <c r="D130" s="1">
        <f t="shared" si="49"/>
        <v>30000</v>
      </c>
      <c r="E130" s="1">
        <f t="shared" si="49"/>
        <v>30000</v>
      </c>
      <c r="F130" s="1">
        <f t="shared" si="49"/>
        <v>30000</v>
      </c>
      <c r="G130" s="1">
        <f t="shared" si="49"/>
        <v>30000</v>
      </c>
      <c r="H130" s="1">
        <f t="shared" si="49"/>
        <v>30000</v>
      </c>
      <c r="I130" s="1">
        <f t="shared" si="49"/>
        <v>30000</v>
      </c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 t="s">
        <v>67</v>
      </c>
      <c r="B132" s="1">
        <f aca="true" t="shared" si="50" ref="B132:I132">$F$5</f>
        <v>0.3</v>
      </c>
      <c r="C132" s="1">
        <f t="shared" si="50"/>
        <v>0.3</v>
      </c>
      <c r="D132" s="1">
        <f t="shared" si="50"/>
        <v>0.3</v>
      </c>
      <c r="E132" s="1">
        <f t="shared" si="50"/>
        <v>0.3</v>
      </c>
      <c r="F132" s="1">
        <f t="shared" si="50"/>
        <v>0.3</v>
      </c>
      <c r="G132" s="1">
        <f t="shared" si="50"/>
        <v>0.3</v>
      </c>
      <c r="H132" s="1">
        <f t="shared" si="50"/>
        <v>0.3</v>
      </c>
      <c r="I132" s="1">
        <f t="shared" si="50"/>
        <v>0.3</v>
      </c>
    </row>
    <row r="133" spans="1:9" ht="14.25">
      <c r="A133" s="1" t="s">
        <v>106</v>
      </c>
      <c r="B133" s="1">
        <f aca="true" t="shared" si="51" ref="B133:I133">1.9*$K$2+0.08*$N$1/0.01</f>
        <v>172</v>
      </c>
      <c r="C133" s="1">
        <f t="shared" si="51"/>
        <v>172</v>
      </c>
      <c r="D133" s="1">
        <f t="shared" si="51"/>
        <v>172</v>
      </c>
      <c r="E133" s="1">
        <f t="shared" si="51"/>
        <v>172</v>
      </c>
      <c r="F133" s="1">
        <f t="shared" si="51"/>
        <v>172</v>
      </c>
      <c r="G133" s="1">
        <f t="shared" si="51"/>
        <v>172</v>
      </c>
      <c r="H133" s="1">
        <f t="shared" si="51"/>
        <v>172</v>
      </c>
      <c r="I133" s="1">
        <f t="shared" si="51"/>
        <v>172</v>
      </c>
    </row>
    <row r="134" spans="1:9" ht="14.25">
      <c r="A134" s="1" t="s">
        <v>107</v>
      </c>
      <c r="B134" s="6">
        <f>B132*B129/(2.1*B133)</f>
        <v>166.11295681063123</v>
      </c>
      <c r="C134" s="6">
        <f aca="true" t="shared" si="52" ref="C134:I134">$F$5*C129/(2.1*C133)</f>
        <v>166.11295681063123</v>
      </c>
      <c r="D134" s="6">
        <f t="shared" si="52"/>
        <v>166.11295681063123</v>
      </c>
      <c r="E134" s="6">
        <f t="shared" si="52"/>
        <v>166.11295681063123</v>
      </c>
      <c r="F134" s="6">
        <f t="shared" si="52"/>
        <v>166.11295681063123</v>
      </c>
      <c r="G134" s="6">
        <f t="shared" si="52"/>
        <v>166.11295681063123</v>
      </c>
      <c r="H134" s="6">
        <f t="shared" si="52"/>
        <v>166.11295681063123</v>
      </c>
      <c r="I134" s="6">
        <f t="shared" si="52"/>
        <v>166.11295681063123</v>
      </c>
    </row>
    <row r="135" spans="1:9" ht="14.25">
      <c r="A135" s="1" t="s">
        <v>108</v>
      </c>
      <c r="B135" s="1">
        <f aca="true" t="shared" si="53" ref="B135:I135">0.65*B128/0.01</f>
        <v>130.65</v>
      </c>
      <c r="C135" s="1">
        <f t="shared" si="53"/>
        <v>130.65</v>
      </c>
      <c r="D135" s="1">
        <f t="shared" si="53"/>
        <v>130.65</v>
      </c>
      <c r="E135" s="1">
        <f t="shared" si="53"/>
        <v>130.65</v>
      </c>
      <c r="F135" s="1">
        <f t="shared" si="53"/>
        <v>130.65</v>
      </c>
      <c r="G135" s="1">
        <f t="shared" si="53"/>
        <v>130.65</v>
      </c>
      <c r="H135" s="1">
        <f t="shared" si="53"/>
        <v>130.65</v>
      </c>
      <c r="I135" s="1">
        <f t="shared" si="53"/>
        <v>130.65</v>
      </c>
    </row>
    <row r="136" spans="1:9" ht="14.25">
      <c r="A136" s="2" t="s">
        <v>110</v>
      </c>
      <c r="B136" s="6">
        <f aca="true" t="shared" si="54" ref="B136:I136">1.1*B120*1000000/((B134+B135)*0.87*B122)</f>
        <v>1135.5264512000215</v>
      </c>
      <c r="C136" s="6">
        <f t="shared" si="54"/>
        <v>618.3874267768023</v>
      </c>
      <c r="D136" s="6">
        <f t="shared" si="54"/>
        <v>378.5088170666739</v>
      </c>
      <c r="E136" s="6">
        <f t="shared" si="54"/>
        <v>505.95334918102003</v>
      </c>
      <c r="F136" s="6">
        <f t="shared" si="54"/>
        <v>856.2453983786627</v>
      </c>
      <c r="G136" s="6">
        <f t="shared" si="54"/>
        <v>372.3025714484215</v>
      </c>
      <c r="H136" s="6">
        <f t="shared" si="54"/>
        <v>285.4151327928875</v>
      </c>
      <c r="I136" s="6">
        <f t="shared" si="54"/>
        <v>304.61119482143573</v>
      </c>
    </row>
    <row r="137" spans="1:13" ht="14.25">
      <c r="A137" s="7" t="s">
        <v>205</v>
      </c>
      <c r="G137" s="99">
        <f>G19/(0.5*1000*G121)</f>
        <v>0.004289999999999999</v>
      </c>
      <c r="I137" s="99">
        <f>I19/(0.5*1000*I121)</f>
        <v>0.004289999999999999</v>
      </c>
      <c r="J137" s="54" t="s">
        <v>177</v>
      </c>
      <c r="M137" s="63">
        <f>G121</f>
        <v>250</v>
      </c>
    </row>
    <row r="138" spans="1:10" ht="14.25">
      <c r="A138" s="7" t="s">
        <v>206</v>
      </c>
      <c r="G138" s="6">
        <f>G120*1000000/0.87/G122/G19</f>
        <v>187.3034319664927</v>
      </c>
      <c r="I138" s="6">
        <f>I120*1000000/0.87/I122/I19</f>
        <v>153.24826251803947</v>
      </c>
      <c r="J138" s="54" t="s">
        <v>179</v>
      </c>
    </row>
    <row r="139" spans="1:10" ht="14.25">
      <c r="A139" s="7" t="s">
        <v>207</v>
      </c>
      <c r="G139" s="6">
        <f>IF(1.1-0.65*S6/G137/G138&lt;0.2,0.2,1.1-0.65*S6/G137/G138)</f>
        <v>0.2</v>
      </c>
      <c r="I139" s="6">
        <f>IF(1.1-0.65*U6/I137/I138&lt;0.2,0.2,1.1-0.65*U6/I137/I138)</f>
        <v>0.2</v>
      </c>
      <c r="J139" s="54" t="s">
        <v>181</v>
      </c>
    </row>
    <row r="140" spans="1:10" ht="14.25">
      <c r="A140" s="7" t="s">
        <v>208</v>
      </c>
      <c r="G140" s="99">
        <f>G19/(1000*G122)</f>
        <v>0.0026286764705882345</v>
      </c>
      <c r="I140" s="99">
        <f>I19/(1000*I122)</f>
        <v>0.0026286764705882345</v>
      </c>
      <c r="J140" s="54" t="s">
        <v>185</v>
      </c>
    </row>
    <row r="141" spans="1:10" ht="14.25">
      <c r="A141" s="7" t="s">
        <v>209</v>
      </c>
      <c r="G141" s="6">
        <f>G129/G130</f>
        <v>6.666666666666667</v>
      </c>
      <c r="I141" s="6">
        <f>I129/I130</f>
        <v>6.666666666666667</v>
      </c>
      <c r="J141" s="54" t="s">
        <v>183</v>
      </c>
    </row>
    <row r="142" spans="1:10" ht="16.5">
      <c r="A142" s="7" t="s">
        <v>210</v>
      </c>
      <c r="G142" s="90">
        <f>G129*F19*G122^2/(1.15*G139+0.2+(6*G141*G140))</f>
        <v>11341448572647.557</v>
      </c>
      <c r="I142" s="90">
        <f>I129*H19*I122^2/(1.15*I139+0.2+(6*I141*I140))</f>
        <v>8340354163231.655</v>
      </c>
      <c r="J142" s="55" t="s">
        <v>187</v>
      </c>
    </row>
    <row r="143" spans="1:10" ht="14.25">
      <c r="A143" s="7" t="s">
        <v>107</v>
      </c>
      <c r="G143" s="90">
        <f>G90/(G120+G90)*G142</f>
        <v>5090637080640.821</v>
      </c>
      <c r="I143" s="90">
        <f>I90/(I120+I90)*I142</f>
        <v>3743588475234.143</v>
      </c>
      <c r="J143" s="55" t="s">
        <v>190</v>
      </c>
    </row>
    <row r="144" spans="1:10" ht="16.5">
      <c r="A144" s="7" t="s">
        <v>189</v>
      </c>
      <c r="G144" s="6">
        <f>(A46+D46)*F1^4*0.00542*1000000000000/G143</f>
        <v>3.98863141849507</v>
      </c>
      <c r="I144" s="6">
        <f>(C46+F46)*F1^4*0.00542*1000000000000/I143</f>
        <v>0.5042717735906932</v>
      </c>
      <c r="J144" s="55" t="s">
        <v>142</v>
      </c>
    </row>
    <row r="145" spans="1:10" ht="14.25">
      <c r="A145" s="7"/>
      <c r="G145" s="6">
        <f>F1*1000/G144</f>
        <v>752.1376846426974</v>
      </c>
      <c r="I145" s="6">
        <f>F1*1000/I144</f>
        <v>5949.172960124944</v>
      </c>
      <c r="J145" s="55" t="s">
        <v>143</v>
      </c>
    </row>
    <row r="146" spans="1:10" ht="14.25">
      <c r="A146" s="7"/>
      <c r="G146" s="6" t="str">
        <f>IF(G145&gt;300,"OK","NG")</f>
        <v>OK</v>
      </c>
      <c r="I146" s="6" t="str">
        <f>IF(I145&gt;300,"OK","NG")</f>
        <v>OK</v>
      </c>
      <c r="J146" s="54" t="s">
        <v>144</v>
      </c>
    </row>
    <row r="147" ht="14.25">
      <c r="A147" s="7"/>
    </row>
    <row r="148" ht="14.25">
      <c r="A148" s="7"/>
    </row>
    <row r="149" ht="14.25">
      <c r="A149" s="7" t="s">
        <v>211</v>
      </c>
    </row>
    <row r="150" spans="1:6" ht="14.25">
      <c r="A150" s="7" t="s">
        <v>212</v>
      </c>
      <c r="B150" s="62">
        <f>B62</f>
        <v>204</v>
      </c>
      <c r="F150" s="62">
        <f>F62</f>
        <v>204</v>
      </c>
    </row>
    <row r="151" spans="1:6" ht="14.25">
      <c r="A151" s="7" t="s">
        <v>213</v>
      </c>
      <c r="B151" s="62">
        <f>4*(H6+B150)</f>
        <v>4016</v>
      </c>
      <c r="F151" s="62">
        <f>4*(H6+F150)</f>
        <v>4016</v>
      </c>
    </row>
    <row r="152" spans="1:6" ht="24">
      <c r="A152" s="89" t="s">
        <v>203</v>
      </c>
      <c r="B152">
        <f>0.4+1.2</f>
        <v>1.6</v>
      </c>
      <c r="F152">
        <f>0.4+1.2</f>
        <v>1.6</v>
      </c>
    </row>
    <row r="153" spans="1:6" ht="24">
      <c r="A153" s="89" t="s">
        <v>204</v>
      </c>
      <c r="B153">
        <f>0.5+30*B150/(4*B151)</f>
        <v>0.8809760956175299</v>
      </c>
      <c r="F153">
        <f>0.5+40*F150/(4*F151)</f>
        <v>1.0079681274900398</v>
      </c>
    </row>
    <row r="154" spans="1:6" ht="14.25">
      <c r="A154" s="7" t="s">
        <v>214</v>
      </c>
      <c r="B154">
        <f>MIN(B152:B153)</f>
        <v>0.8809760956175299</v>
      </c>
      <c r="F154">
        <f>MIN(F152:F153)</f>
        <v>1.0079681274900398</v>
      </c>
    </row>
    <row r="155" spans="1:6" ht="14.25">
      <c r="A155" s="7" t="s">
        <v>215</v>
      </c>
      <c r="B155">
        <f>0.7*ft*B154*B151*B150</f>
        <v>722473.7519999999</v>
      </c>
      <c r="F155">
        <f>0.7*ft*F154*F151*F150</f>
        <v>826617.7919999999</v>
      </c>
    </row>
    <row r="156" ht="14.25">
      <c r="A156" s="7" t="s">
        <v>216</v>
      </c>
    </row>
    <row r="176" ht="14.25">
      <c r="J176" s="1"/>
    </row>
    <row r="177" ht="14.25">
      <c r="J177" s="2"/>
    </row>
    <row r="178" ht="14.25">
      <c r="J178" s="176"/>
    </row>
    <row r="179" ht="14.25">
      <c r="J179" s="177"/>
    </row>
    <row r="180" ht="14.25">
      <c r="J180" s="14"/>
    </row>
    <row r="181" ht="14.25">
      <c r="J181" s="14"/>
    </row>
    <row r="182" ht="14.25">
      <c r="J182" s="14"/>
    </row>
  </sheetData>
  <sheetProtection sheet="1" objects="1" scenarios="1"/>
  <mergeCells count="16">
    <mergeCell ref="B48:I48"/>
    <mergeCell ref="B78:I78"/>
    <mergeCell ref="B108:I108"/>
    <mergeCell ref="E41:F41"/>
    <mergeCell ref="G41:H41"/>
    <mergeCell ref="B7:E7"/>
    <mergeCell ref="F7:I7"/>
    <mergeCell ref="B11:I11"/>
    <mergeCell ref="B8:C8"/>
    <mergeCell ref="D8:E8"/>
    <mergeCell ref="F8:G8"/>
    <mergeCell ref="H8:I8"/>
    <mergeCell ref="BO4:BV4"/>
    <mergeCell ref="I39:K39"/>
    <mergeCell ref="L39:N39"/>
    <mergeCell ref="BW4:CD4"/>
  </mergeCells>
  <dataValidations count="1">
    <dataValidation type="whole" allowBlank="1" showInputMessage="1" showErrorMessage="1" sqref="D29">
      <formula1>100</formula1>
      <formula2>200</formula2>
    </dataValidation>
  </dataValidations>
  <printOptions/>
  <pageMargins left="0.75" right="0.75" top="1" bottom="1" header="0.5" footer="0.5"/>
  <pageSetup horizontalDpi="600" verticalDpi="600" orientation="portrait" paperSize="9" r:id="rId5"/>
  <ignoredErrors>
    <ignoredError sqref="F53:G53 C53" formulaRange="1"/>
  </ignoredErrors>
  <legacyDrawing r:id="rId4"/>
  <oleObjects>
    <oleObject progId="Equation.3" shapeId="356388" r:id="rId1"/>
    <oleObject progId="Equation.3" shapeId="356389" r:id="rId2"/>
    <oleObject progId="Equation.3" shapeId="35639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N182"/>
  <sheetViews>
    <sheetView zoomScale="90" zoomScaleNormal="90" zoomScaleSheetLayoutView="100" zoomScalePageLayoutView="0" workbookViewId="0" topLeftCell="A44">
      <selection activeCell="F66" sqref="F66"/>
    </sheetView>
  </sheetViews>
  <sheetFormatPr defaultColWidth="9.00390625" defaultRowHeight="14.25"/>
  <cols>
    <col min="1" max="1" width="21.125" style="0" customWidth="1"/>
    <col min="2" max="2" width="10.75390625" style="0" customWidth="1"/>
    <col min="3" max="3" width="10.25390625" style="0" customWidth="1"/>
    <col min="4" max="4" width="12.00390625" style="0" customWidth="1"/>
    <col min="5" max="5" width="10.625" style="0" customWidth="1"/>
    <col min="6" max="6" width="12.125" style="0" customWidth="1"/>
    <col min="7" max="7" width="12.00390625" style="0" customWidth="1"/>
    <col min="8" max="8" width="10.125" style="0" customWidth="1"/>
    <col min="9" max="9" width="10.50390625" style="0" customWidth="1"/>
    <col min="10" max="11" width="9.375" style="0" customWidth="1"/>
    <col min="12" max="12" width="9.75390625" style="0" customWidth="1"/>
    <col min="13" max="13" width="11.00390625" style="0" customWidth="1"/>
    <col min="15" max="15" width="7.875" style="0" customWidth="1"/>
    <col min="16" max="16" width="10.50390625" style="0" customWidth="1"/>
    <col min="17" max="17" width="6.875" style="0" customWidth="1"/>
    <col min="18" max="18" width="7.25390625" style="0" customWidth="1"/>
    <col min="19" max="19" width="8.875" style="0" customWidth="1"/>
    <col min="20" max="21" width="10.25390625" style="0" bestFit="1" customWidth="1"/>
    <col min="22" max="22" width="7.00390625" style="0" customWidth="1"/>
    <col min="23" max="23" width="8.75390625" style="0" customWidth="1"/>
    <col min="24" max="24" width="10.50390625" style="0" customWidth="1"/>
    <col min="25" max="25" width="6.75390625" style="0" customWidth="1"/>
    <col min="26" max="26" width="7.50390625" style="0" customWidth="1"/>
    <col min="27" max="27" width="8.875" style="0" customWidth="1"/>
    <col min="38" max="38" width="5.50390625" style="0" customWidth="1"/>
    <col min="39" max="39" width="5.625" style="0" customWidth="1"/>
    <col min="40" max="40" width="5.375" style="0" customWidth="1"/>
    <col min="41" max="41" width="5.50390625" style="0" customWidth="1"/>
    <col min="42" max="42" width="5.00390625" style="0" customWidth="1"/>
    <col min="43" max="43" width="5.50390625" style="0" customWidth="1"/>
    <col min="44" max="45" width="4.50390625" style="0" customWidth="1"/>
    <col min="46" max="46" width="4.75390625" style="0" customWidth="1"/>
    <col min="47" max="66" width="5.00390625" style="0" customWidth="1"/>
  </cols>
  <sheetData>
    <row r="1" spans="1:26" s="1" customFormat="1" ht="27.75" customHeight="1">
      <c r="A1" s="1" t="s">
        <v>33</v>
      </c>
      <c r="E1" s="1" t="s">
        <v>35</v>
      </c>
      <c r="F1" s="2">
        <f>'总参数页'!F4</f>
        <v>3.4</v>
      </c>
      <c r="G1" s="1" t="s">
        <v>36</v>
      </c>
      <c r="H1" s="1" t="s">
        <v>37</v>
      </c>
      <c r="I1" s="2">
        <v>1.2</v>
      </c>
      <c r="J1" s="1" t="s">
        <v>55</v>
      </c>
      <c r="L1" s="1">
        <f>'总参数页'!I8</f>
        <v>1</v>
      </c>
      <c r="M1" s="1" t="s">
        <v>63</v>
      </c>
      <c r="N1" s="2">
        <f>'总参数页'!I4</f>
        <v>12</v>
      </c>
      <c r="P1" s="1" t="s">
        <v>0</v>
      </c>
      <c r="Q1" s="1" t="s">
        <v>7</v>
      </c>
      <c r="R1" s="1" t="s">
        <v>8</v>
      </c>
      <c r="S1" s="1" t="s">
        <v>6</v>
      </c>
      <c r="T1" s="1" t="s">
        <v>27</v>
      </c>
      <c r="U1" s="1" t="s">
        <v>28</v>
      </c>
      <c r="V1" s="1" t="s">
        <v>9</v>
      </c>
      <c r="W1" s="1">
        <v>0.85</v>
      </c>
      <c r="X1" s="1" t="s">
        <v>63</v>
      </c>
      <c r="Y1" s="2">
        <v>14</v>
      </c>
      <c r="Z1" s="1" t="s">
        <v>0</v>
      </c>
    </row>
    <row r="2" spans="1:22" s="1" customFormat="1" ht="27" customHeight="1">
      <c r="A2" s="1" t="s">
        <v>34</v>
      </c>
      <c r="E2" s="1" t="s">
        <v>41</v>
      </c>
      <c r="F2" s="2">
        <f>'总参数页'!F3</f>
        <v>3</v>
      </c>
      <c r="G2" s="1" t="s">
        <v>36</v>
      </c>
      <c r="H2" s="1" t="s">
        <v>40</v>
      </c>
      <c r="I2" s="2">
        <v>1.3</v>
      </c>
      <c r="J2" s="1" t="s">
        <v>61</v>
      </c>
      <c r="K2" s="2">
        <f>'总参数页'!I3</f>
        <v>40</v>
      </c>
      <c r="L2" s="1" t="s">
        <v>0</v>
      </c>
      <c r="Q2" s="1" t="s">
        <v>62</v>
      </c>
      <c r="R2" s="1" t="s">
        <v>62</v>
      </c>
      <c r="S2" s="1" t="s">
        <v>62</v>
      </c>
      <c r="T2" s="1" t="s">
        <v>62</v>
      </c>
      <c r="U2" s="1" t="s">
        <v>62</v>
      </c>
      <c r="V2" s="1" t="s">
        <v>62</v>
      </c>
    </row>
    <row r="3" spans="5:21" ht="14.25">
      <c r="E3" s="1" t="s">
        <v>1</v>
      </c>
      <c r="F3" s="2">
        <f>'总参数页'!F5</f>
        <v>250</v>
      </c>
      <c r="G3" s="1" t="s">
        <v>0</v>
      </c>
      <c r="H3" s="2" t="s">
        <v>68</v>
      </c>
      <c r="I3" s="2">
        <f>'总参数页'!K11</f>
        <v>4.6</v>
      </c>
      <c r="J3" s="1" t="s">
        <v>69</v>
      </c>
      <c r="K3" s="1"/>
      <c r="L3" s="1"/>
      <c r="Q3" s="15"/>
      <c r="R3" s="15"/>
      <c r="S3" s="15"/>
      <c r="T3" s="15"/>
      <c r="U3" s="15"/>
    </row>
    <row r="4" spans="5:21" ht="14.25">
      <c r="E4" s="1" t="s">
        <v>38</v>
      </c>
      <c r="F4" s="2">
        <f>'总参数页'!F6</f>
        <v>40</v>
      </c>
      <c r="G4" s="1" t="s">
        <v>39</v>
      </c>
      <c r="H4" s="2" t="s">
        <v>70</v>
      </c>
      <c r="I4" s="2">
        <v>385</v>
      </c>
      <c r="J4" s="1" t="s">
        <v>95</v>
      </c>
      <c r="K4" s="1"/>
      <c r="L4" s="1"/>
      <c r="Q4" s="15"/>
      <c r="R4" s="15"/>
      <c r="S4" s="15"/>
      <c r="T4" s="15"/>
      <c r="U4" s="15"/>
    </row>
    <row r="5" spans="5:22" ht="14.25">
      <c r="E5" s="1" t="s">
        <v>79</v>
      </c>
      <c r="F5" s="2">
        <f>'总参数页'!B7</f>
        <v>0.3</v>
      </c>
      <c r="G5" s="1" t="s">
        <v>86</v>
      </c>
      <c r="H5" s="2" t="s">
        <v>170</v>
      </c>
      <c r="I5" s="1">
        <f>'总参数页'!K6</f>
        <v>0.7</v>
      </c>
      <c r="J5" s="1" t="s">
        <v>171</v>
      </c>
      <c r="K5" s="1">
        <f>'总参数页'!K7</f>
        <v>0.6</v>
      </c>
      <c r="L5" s="1"/>
      <c r="M5" s="1"/>
      <c r="Q5" s="15"/>
      <c r="R5" s="15"/>
      <c r="S5" s="15"/>
      <c r="T5" s="15"/>
      <c r="U5" s="15"/>
      <c r="V5" s="1"/>
    </row>
    <row r="6" spans="2:22" ht="24" customHeight="1" thickBot="1">
      <c r="B6" s="1"/>
      <c r="E6" s="1" t="s">
        <v>113</v>
      </c>
      <c r="G6" s="1" t="s">
        <v>149</v>
      </c>
      <c r="H6" s="1">
        <f>'总参数页'!I5</f>
        <v>800</v>
      </c>
      <c r="I6" s="1" t="s">
        <v>131</v>
      </c>
      <c r="J6" s="1" t="s">
        <v>147</v>
      </c>
      <c r="K6" s="1">
        <f>F1*1000-H6/3</f>
        <v>3133.3333333333335</v>
      </c>
      <c r="L6" s="1" t="s">
        <v>148</v>
      </c>
      <c r="M6" s="1"/>
      <c r="Q6" s="8">
        <f>INDEX('混凝土强度和模量'!D4:D17,'混凝土强度和模量'!I4)</f>
        <v>14.3</v>
      </c>
      <c r="R6" s="8">
        <f>INDEX('混凝土强度和模量'!E4:E17,'混凝土强度和模量'!I4)</f>
        <v>1.43</v>
      </c>
      <c r="S6" s="8">
        <f>INDEX('混凝土强度和模量'!C4:C17,'混凝土强度和模量'!I4)</f>
        <v>2.01</v>
      </c>
      <c r="T6" s="8">
        <f>INDEX('混凝土强度和模量'!B20:B24,'混凝土强度和模量'!I20)</f>
        <v>300</v>
      </c>
      <c r="U6" s="8">
        <f>INDEX('混凝土强度和模量'!C20:C24,'混凝土强度和模量'!I20)</f>
        <v>200000</v>
      </c>
      <c r="V6" s="8">
        <f>INDEX('混凝土强度和模量'!F4:F17,'混凝土强度和模量'!I4)</f>
        <v>30000</v>
      </c>
    </row>
    <row r="7" spans="1:22" ht="15" thickTop="1">
      <c r="A7" s="39"/>
      <c r="B7" s="311" t="s">
        <v>109</v>
      </c>
      <c r="C7" s="300"/>
      <c r="D7" s="300"/>
      <c r="E7" s="312"/>
      <c r="F7" s="299" t="s">
        <v>137</v>
      </c>
      <c r="G7" s="300"/>
      <c r="H7" s="300"/>
      <c r="I7" s="301"/>
      <c r="J7" s="1"/>
      <c r="K7" s="1"/>
      <c r="L7" s="1"/>
      <c r="M7" s="1"/>
      <c r="N7" s="1"/>
      <c r="V7" s="1"/>
    </row>
    <row r="8" spans="1:22" ht="14.25">
      <c r="A8" s="40"/>
      <c r="B8" s="302" t="s">
        <v>74</v>
      </c>
      <c r="C8" s="303"/>
      <c r="D8" s="303" t="s">
        <v>75</v>
      </c>
      <c r="E8" s="308"/>
      <c r="F8" s="307" t="s">
        <v>74</v>
      </c>
      <c r="G8" s="303"/>
      <c r="H8" s="303" t="s">
        <v>75</v>
      </c>
      <c r="I8" s="316"/>
      <c r="J8" s="1"/>
      <c r="K8" s="1"/>
      <c r="L8" s="1"/>
      <c r="M8" s="1"/>
      <c r="N8" s="1"/>
      <c r="V8" s="1"/>
    </row>
    <row r="9" spans="1:22" ht="14.25">
      <c r="A9" s="40"/>
      <c r="B9" s="19" t="s">
        <v>80</v>
      </c>
      <c r="C9" s="18" t="s">
        <v>81</v>
      </c>
      <c r="D9" s="18" t="s">
        <v>80</v>
      </c>
      <c r="E9" s="32" t="s">
        <v>81</v>
      </c>
      <c r="F9" s="34" t="s">
        <v>80</v>
      </c>
      <c r="G9" s="18" t="s">
        <v>81</v>
      </c>
      <c r="H9" s="18" t="s">
        <v>80</v>
      </c>
      <c r="I9" s="17" t="s">
        <v>81</v>
      </c>
      <c r="J9" s="1"/>
      <c r="K9" s="1"/>
      <c r="L9" s="1"/>
      <c r="M9" s="1"/>
      <c r="N9" s="1"/>
      <c r="V9" s="1"/>
    </row>
    <row r="10" spans="1:22" ht="15" thickBot="1">
      <c r="A10" s="41"/>
      <c r="B10" s="30" t="s">
        <v>82</v>
      </c>
      <c r="C10" s="31" t="s">
        <v>82</v>
      </c>
      <c r="D10" s="31" t="s">
        <v>82</v>
      </c>
      <c r="E10" s="33" t="s">
        <v>82</v>
      </c>
      <c r="F10" s="35" t="s">
        <v>82</v>
      </c>
      <c r="G10" s="36" t="s">
        <v>82</v>
      </c>
      <c r="H10" s="36" t="s">
        <v>82</v>
      </c>
      <c r="I10" s="37" t="s">
        <v>82</v>
      </c>
      <c r="J10" s="1"/>
      <c r="K10" s="1"/>
      <c r="L10" s="1"/>
      <c r="M10" s="1"/>
      <c r="N10" s="1"/>
      <c r="V10" s="1"/>
    </row>
    <row r="11" spans="1:22" ht="15" thickTop="1">
      <c r="A11" s="42" t="s">
        <v>96</v>
      </c>
      <c r="B11" s="304" t="str">
        <f>F5&amp;" mm"</f>
        <v>0.3 mm</v>
      </c>
      <c r="C11" s="305"/>
      <c r="D11" s="305"/>
      <c r="E11" s="305"/>
      <c r="F11" s="305"/>
      <c r="G11" s="305"/>
      <c r="H11" s="305"/>
      <c r="I11" s="306"/>
      <c r="J11" s="1"/>
      <c r="K11" s="1"/>
      <c r="L11" s="1"/>
      <c r="M11" s="1"/>
      <c r="N11" s="1"/>
      <c r="V11" s="1"/>
    </row>
    <row r="12" spans="1:22" ht="14.25">
      <c r="A12" s="43" t="s">
        <v>134</v>
      </c>
      <c r="B12" s="27">
        <f aca="true" t="shared" si="0" ref="B12:I12">B60</f>
        <v>91.91722633333335</v>
      </c>
      <c r="C12" s="27">
        <f t="shared" si="0"/>
        <v>50.05647997777778</v>
      </c>
      <c r="D12" s="27">
        <f t="shared" si="0"/>
        <v>30.639075444444448</v>
      </c>
      <c r="E12" s="27">
        <f t="shared" si="0"/>
        <v>40.9553018</v>
      </c>
      <c r="F12" s="27">
        <f t="shared" si="0"/>
        <v>58.014840333333346</v>
      </c>
      <c r="G12" s="27">
        <f t="shared" si="0"/>
        <v>25.225331755555562</v>
      </c>
      <c r="H12" s="27">
        <f t="shared" si="0"/>
        <v>19.338280111111114</v>
      </c>
      <c r="I12" s="27">
        <f t="shared" si="0"/>
        <v>20.638907800000002</v>
      </c>
      <c r="J12" s="11"/>
      <c r="K12" s="60"/>
      <c r="L12" s="1"/>
      <c r="M12" s="1"/>
      <c r="N12" s="3"/>
      <c r="O12" s="3"/>
      <c r="P12" s="3"/>
      <c r="Q12" s="3"/>
      <c r="V12" s="1"/>
    </row>
    <row r="13" spans="1:22" ht="14.25">
      <c r="A13" s="43" t="s">
        <v>135</v>
      </c>
      <c r="B13" s="27">
        <f aca="true" t="shared" si="1" ref="B13:I13">B90</f>
        <v>71.44826416666668</v>
      </c>
      <c r="C13" s="27">
        <f t="shared" si="1"/>
        <v>38.90944872222222</v>
      </c>
      <c r="D13" s="27">
        <f t="shared" si="1"/>
        <v>23.816088055555557</v>
      </c>
      <c r="E13" s="27">
        <f t="shared" si="1"/>
        <v>31.8350035</v>
      </c>
      <c r="F13" s="27">
        <f t="shared" si="1"/>
        <v>45.09556916666667</v>
      </c>
      <c r="G13" s="27">
        <f t="shared" si="1"/>
        <v>19.607925944444446</v>
      </c>
      <c r="H13" s="27">
        <f t="shared" si="1"/>
        <v>15.03185638888889</v>
      </c>
      <c r="I13" s="27">
        <f t="shared" si="1"/>
        <v>16.0428485</v>
      </c>
      <c r="J13" s="11"/>
      <c r="K13" s="60"/>
      <c r="L13" s="1"/>
      <c r="M13" s="1"/>
      <c r="N13" s="1">
        <f>'总参数页'!M39</f>
        <v>0</v>
      </c>
      <c r="O13" s="3"/>
      <c r="V13" s="1"/>
    </row>
    <row r="14" spans="1:22" ht="14.25">
      <c r="A14" s="43"/>
      <c r="B14" s="27"/>
      <c r="C14" s="20"/>
      <c r="D14" s="20"/>
      <c r="E14" s="52"/>
      <c r="F14" s="38"/>
      <c r="G14" s="20"/>
      <c r="H14" s="20"/>
      <c r="I14" s="21"/>
      <c r="J14" s="11"/>
      <c r="K14" s="60"/>
      <c r="L14" s="1"/>
      <c r="M14" s="1"/>
      <c r="N14" s="1"/>
      <c r="V14" s="1"/>
    </row>
    <row r="15" spans="1:22" ht="14.25">
      <c r="A15" s="43" t="s">
        <v>129</v>
      </c>
      <c r="B15" s="28">
        <f aca="true" t="shared" si="2" ref="B15:I15">B67</f>
        <v>1640.2555658719468</v>
      </c>
      <c r="C15" s="28">
        <f t="shared" si="2"/>
        <v>855.5537420986795</v>
      </c>
      <c r="D15" s="28">
        <f t="shared" si="2"/>
        <v>514.2356874837049</v>
      </c>
      <c r="E15" s="28">
        <f t="shared" si="2"/>
        <v>693.9672644127268</v>
      </c>
      <c r="F15" s="28">
        <f t="shared" si="2"/>
        <v>999.3023570589713</v>
      </c>
      <c r="G15" s="28">
        <f t="shared" si="2"/>
        <v>421.30543707833345</v>
      </c>
      <c r="H15" s="28">
        <f t="shared" si="2"/>
        <v>321.29292595760387</v>
      </c>
      <c r="I15" s="28">
        <f t="shared" si="2"/>
        <v>343.2969483329478</v>
      </c>
      <c r="J15" s="11"/>
      <c r="K15" s="60"/>
      <c r="L15" s="1"/>
      <c r="M15" s="1"/>
      <c r="N15" s="1"/>
      <c r="V15" s="1"/>
    </row>
    <row r="16" spans="1:22" ht="14.25">
      <c r="A16" s="43" t="s">
        <v>130</v>
      </c>
      <c r="B16" s="28">
        <f aca="true" t="shared" si="3" ref="B16:I16">B106</f>
        <v>1492.1938909582673</v>
      </c>
      <c r="C16" s="28">
        <f t="shared" si="3"/>
        <v>812.6221450029484</v>
      </c>
      <c r="D16" s="28">
        <f t="shared" si="3"/>
        <v>497.3979636527558</v>
      </c>
      <c r="E16" s="28">
        <f t="shared" si="3"/>
        <v>664.8726640933213</v>
      </c>
      <c r="F16" s="28">
        <f t="shared" si="3"/>
        <v>941.8190015479755</v>
      </c>
      <c r="G16" s="28">
        <f t="shared" si="3"/>
        <v>409.51068090906074</v>
      </c>
      <c r="H16" s="28">
        <f t="shared" si="3"/>
        <v>313.9396671826585</v>
      </c>
      <c r="I16" s="28">
        <f t="shared" si="3"/>
        <v>335.05419347104976</v>
      </c>
      <c r="J16" s="11"/>
      <c r="K16" s="60"/>
      <c r="L16" s="1"/>
      <c r="M16" s="1"/>
      <c r="N16" s="1"/>
      <c r="V16" s="1"/>
    </row>
    <row r="17" spans="1:22" ht="14.25">
      <c r="A17" s="43" t="s">
        <v>71</v>
      </c>
      <c r="B17" s="131">
        <f aca="true" t="shared" si="4" ref="B17:I17">MAX(B15,B16)/(1000*$F$3)</f>
        <v>0.006561022263487788</v>
      </c>
      <c r="C17" s="132">
        <f t="shared" si="4"/>
        <v>0.0034222149683947184</v>
      </c>
      <c r="D17" s="132">
        <f t="shared" si="4"/>
        <v>0.0020569427499348195</v>
      </c>
      <c r="E17" s="134">
        <f t="shared" si="4"/>
        <v>0.002775869057650907</v>
      </c>
      <c r="F17" s="135">
        <f t="shared" si="4"/>
        <v>0.003997209428235885</v>
      </c>
      <c r="G17" s="132">
        <f t="shared" si="4"/>
        <v>0.0016852217483133338</v>
      </c>
      <c r="H17" s="132">
        <f t="shared" si="4"/>
        <v>0.0012851717038304155</v>
      </c>
      <c r="I17" s="133">
        <f t="shared" si="4"/>
        <v>0.0013731877933317912</v>
      </c>
      <c r="J17" s="11"/>
      <c r="K17" s="60"/>
      <c r="L17" s="1"/>
      <c r="M17" s="1"/>
      <c r="N17" s="1"/>
      <c r="V17" s="1"/>
    </row>
    <row r="18" spans="1:22" ht="14.25">
      <c r="A18" s="43" t="s">
        <v>84</v>
      </c>
      <c r="B18" s="135">
        <f aca="true" t="shared" si="5" ref="B18:I18">MAX(0.002,45*$R$6/$T$6/100)</f>
        <v>0.0021449999999999998</v>
      </c>
      <c r="C18" s="135">
        <f t="shared" si="5"/>
        <v>0.0021449999999999998</v>
      </c>
      <c r="D18" s="135">
        <f t="shared" si="5"/>
        <v>0.0021449999999999998</v>
      </c>
      <c r="E18" s="135">
        <f t="shared" si="5"/>
        <v>0.0021449999999999998</v>
      </c>
      <c r="F18" s="135">
        <f t="shared" si="5"/>
        <v>0.0021449999999999998</v>
      </c>
      <c r="G18" s="135">
        <f t="shared" si="5"/>
        <v>0.0021449999999999998</v>
      </c>
      <c r="H18" s="135">
        <f t="shared" si="5"/>
        <v>0.0021449999999999998</v>
      </c>
      <c r="I18" s="135">
        <f t="shared" si="5"/>
        <v>0.0021449999999999998</v>
      </c>
      <c r="J18" s="11"/>
      <c r="K18" s="60"/>
      <c r="L18" s="1"/>
      <c r="M18" s="1"/>
      <c r="N18" s="1"/>
      <c r="V18" s="1"/>
    </row>
    <row r="19" spans="1:22" ht="14.25">
      <c r="A19" s="43" t="s">
        <v>94</v>
      </c>
      <c r="B19" s="127">
        <f aca="true" t="shared" si="6" ref="B19:I19">MAX(B18,B17)*$F$3*1000</f>
        <v>1640.2555658719468</v>
      </c>
      <c r="C19" s="128">
        <f t="shared" si="6"/>
        <v>855.5537420986797</v>
      </c>
      <c r="D19" s="128">
        <f t="shared" si="6"/>
        <v>536.2499999999999</v>
      </c>
      <c r="E19" s="136">
        <f t="shared" si="6"/>
        <v>693.9672644127268</v>
      </c>
      <c r="F19" s="130">
        <f t="shared" si="6"/>
        <v>999.3023570589712</v>
      </c>
      <c r="G19" s="128">
        <f t="shared" si="6"/>
        <v>536.2499999999999</v>
      </c>
      <c r="H19" s="128">
        <f t="shared" si="6"/>
        <v>536.2499999999999</v>
      </c>
      <c r="I19" s="129">
        <f t="shared" si="6"/>
        <v>536.2499999999999</v>
      </c>
      <c r="J19" s="11"/>
      <c r="K19" s="60"/>
      <c r="L19" s="1"/>
      <c r="M19" s="1"/>
      <c r="N19" s="1"/>
      <c r="V19" s="1"/>
    </row>
    <row r="20" spans="1:22" ht="14.25">
      <c r="A20" s="43" t="s">
        <v>90</v>
      </c>
      <c r="B20" s="27">
        <f aca="true" t="shared" si="7" ref="B20:I20">B19*0.785/100</f>
        <v>12.876006192094783</v>
      </c>
      <c r="C20" s="20">
        <f t="shared" si="7"/>
        <v>6.716096875474635</v>
      </c>
      <c r="D20" s="20">
        <f t="shared" si="7"/>
        <v>4.2095625</v>
      </c>
      <c r="E20" s="52">
        <f t="shared" si="7"/>
        <v>5.4476430256399055</v>
      </c>
      <c r="F20" s="38">
        <f t="shared" si="7"/>
        <v>7.844523502912924</v>
      </c>
      <c r="G20" s="20">
        <f t="shared" si="7"/>
        <v>4.2095625</v>
      </c>
      <c r="H20" s="20">
        <f t="shared" si="7"/>
        <v>4.2095625</v>
      </c>
      <c r="I20" s="21">
        <f t="shared" si="7"/>
        <v>4.2095625</v>
      </c>
      <c r="J20" s="11"/>
      <c r="K20" s="60"/>
      <c r="L20" s="1"/>
      <c r="M20" s="1"/>
      <c r="N20" s="1"/>
      <c r="V20" s="1"/>
    </row>
    <row r="21" spans="1:22" ht="14.25">
      <c r="A21" s="43" t="s">
        <v>85</v>
      </c>
      <c r="B21" s="27">
        <f>(B20+C20+D20+E20)*$F$2*$F1/2</f>
        <v>149.17147382536757</v>
      </c>
      <c r="C21" s="22" t="str">
        <f>"("&amp;F1&amp;"m × "&amp;F2&amp;"m)"</f>
        <v>(3.4m × 3m)</v>
      </c>
      <c r="D21" s="23"/>
      <c r="E21" s="53"/>
      <c r="F21" s="38">
        <f>(F20+G20+H20+I20)*$F$2*$F1/2</f>
        <v>104.41337611485592</v>
      </c>
      <c r="G21" s="22" t="str">
        <f>"("&amp;F1&amp;"m × "&amp;F2&amp;"m)"</f>
        <v>(3.4m × 3m)</v>
      </c>
      <c r="H21" s="22"/>
      <c r="I21" s="24"/>
      <c r="J21" s="11"/>
      <c r="K21" s="60"/>
      <c r="L21" s="1"/>
      <c r="M21" s="1"/>
      <c r="N21" s="1"/>
      <c r="V21" s="1"/>
    </row>
    <row r="22" spans="1:22" ht="14.25">
      <c r="A22" s="43" t="s">
        <v>87</v>
      </c>
      <c r="B22" s="27">
        <f>B21/(F$1*F$2)</f>
        <v>14.624654296604664</v>
      </c>
      <c r="C22" s="23"/>
      <c r="D22" s="23"/>
      <c r="E22" s="53"/>
      <c r="F22" s="38">
        <f>F21/(F$1*F$2)</f>
        <v>10.236605501456463</v>
      </c>
      <c r="G22" s="22"/>
      <c r="H22" s="22"/>
      <c r="I22" s="24"/>
      <c r="J22" s="11"/>
      <c r="K22" s="60"/>
      <c r="L22" s="1"/>
      <c r="M22" s="1"/>
      <c r="N22" s="1"/>
      <c r="V22" s="1"/>
    </row>
    <row r="23" spans="1:22" ht="14.25">
      <c r="A23" s="43" t="s">
        <v>89</v>
      </c>
      <c r="B23" s="27">
        <f>F3/1000</f>
        <v>0.25</v>
      </c>
      <c r="C23" s="23"/>
      <c r="D23" s="23"/>
      <c r="E23" s="53"/>
      <c r="F23" s="38">
        <f>F3/1000</f>
        <v>0.25</v>
      </c>
      <c r="G23" s="22"/>
      <c r="H23" s="22"/>
      <c r="I23" s="24"/>
      <c r="J23" s="11"/>
      <c r="K23" s="60"/>
      <c r="L23" s="1"/>
      <c r="M23" s="1"/>
      <c r="N23" s="1"/>
      <c r="V23" s="1"/>
    </row>
    <row r="24" spans="1:16" ht="14.25">
      <c r="A24" s="43" t="s">
        <v>88</v>
      </c>
      <c r="B24" s="51">
        <f>B22*$I3+$I4*B23</f>
        <v>163.52340976438146</v>
      </c>
      <c r="C24" s="23"/>
      <c r="D24" s="23"/>
      <c r="E24" s="53"/>
      <c r="F24" s="50">
        <f>F22*$I3+$I4*F23</f>
        <v>143.33838530669973</v>
      </c>
      <c r="G24" s="22"/>
      <c r="H24" s="22"/>
      <c r="I24" s="24"/>
      <c r="J24" s="11"/>
      <c r="K24" s="60"/>
      <c r="L24" s="1"/>
      <c r="M24" s="1"/>
      <c r="P24" t="s">
        <v>111</v>
      </c>
    </row>
    <row r="25" spans="1:25" ht="14.25">
      <c r="A25" s="43" t="s">
        <v>104</v>
      </c>
      <c r="B25" s="127">
        <f>'总参数页'!B85</f>
        <v>16</v>
      </c>
      <c r="C25" s="127">
        <f>'总参数页'!C85</f>
        <v>12</v>
      </c>
      <c r="D25" s="127">
        <f>'总参数页'!D85</f>
        <v>12</v>
      </c>
      <c r="E25" s="127">
        <f>'总参数页'!E85</f>
        <v>12</v>
      </c>
      <c r="F25" s="127">
        <f>'总参数页'!F85</f>
        <v>12</v>
      </c>
      <c r="G25" s="127">
        <f>'总参数页'!G85</f>
        <v>12</v>
      </c>
      <c r="H25" s="127">
        <f>'总参数页'!H85</f>
        <v>12</v>
      </c>
      <c r="I25" s="127">
        <f>'总参数页'!I85</f>
        <v>12</v>
      </c>
      <c r="J25" s="11"/>
      <c r="K25" s="60"/>
      <c r="L25" s="1"/>
      <c r="M25" s="1"/>
      <c r="P25" s="46" t="s">
        <v>112</v>
      </c>
      <c r="Q25" s="46"/>
      <c r="R25" s="46"/>
      <c r="S25" s="46"/>
      <c r="T25" s="46"/>
      <c r="U25" s="46"/>
      <c r="V25" s="46"/>
      <c r="W25" s="46"/>
      <c r="X25" s="46"/>
      <c r="Y25" s="46"/>
    </row>
    <row r="26" spans="1:13" ht="14.25">
      <c r="A26" s="43" t="s">
        <v>105</v>
      </c>
      <c r="B26" s="128">
        <f aca="true" t="shared" si="8" ref="B26:I26">IF(INT(1000/(B19/(B25^2*PI()/4))/10)*10&gt;200,200,IF(INT(1000/(B19/(B25^2*PI()/4))/10)*10&lt;100,100,INT(1000/(B19/(B25^2*PI()/4))/10)*10))</f>
        <v>120</v>
      </c>
      <c r="C26" s="128">
        <f t="shared" si="8"/>
        <v>130</v>
      </c>
      <c r="D26" s="128">
        <f t="shared" si="8"/>
        <v>200</v>
      </c>
      <c r="E26" s="128">
        <f t="shared" si="8"/>
        <v>160</v>
      </c>
      <c r="F26" s="128">
        <f t="shared" si="8"/>
        <v>110</v>
      </c>
      <c r="G26" s="128">
        <f t="shared" si="8"/>
        <v>200</v>
      </c>
      <c r="H26" s="128">
        <f t="shared" si="8"/>
        <v>200</v>
      </c>
      <c r="I26" s="128">
        <f t="shared" si="8"/>
        <v>200</v>
      </c>
      <c r="J26" s="11"/>
      <c r="K26" s="60"/>
      <c r="L26" s="1"/>
      <c r="M26" s="1"/>
    </row>
    <row r="27" spans="1:13" ht="15" thickBot="1">
      <c r="A27" s="44"/>
      <c r="B27" s="137" t="str">
        <f aca="true" t="shared" si="9" ref="B27:I27">"φ"&amp;B25&amp;"@"&amp;B26</f>
        <v>φ16@120</v>
      </c>
      <c r="C27" s="137" t="str">
        <f t="shared" si="9"/>
        <v>φ12@130</v>
      </c>
      <c r="D27" s="137" t="str">
        <f t="shared" si="9"/>
        <v>φ12@200</v>
      </c>
      <c r="E27" s="137" t="str">
        <f t="shared" si="9"/>
        <v>φ12@160</v>
      </c>
      <c r="F27" s="137" t="str">
        <f t="shared" si="9"/>
        <v>φ12@110</v>
      </c>
      <c r="G27" s="137" t="str">
        <f t="shared" si="9"/>
        <v>φ12@200</v>
      </c>
      <c r="H27" s="137" t="str">
        <f t="shared" si="9"/>
        <v>φ12@200</v>
      </c>
      <c r="I27" s="137" t="str">
        <f t="shared" si="9"/>
        <v>φ12@200</v>
      </c>
      <c r="J27" s="11"/>
      <c r="K27" s="60"/>
      <c r="L27" s="1"/>
      <c r="M27" s="1"/>
    </row>
    <row r="28" spans="1:13" ht="15" thickTop="1">
      <c r="A28" s="47"/>
      <c r="B28" s="48"/>
      <c r="C28" s="48"/>
      <c r="D28" s="48"/>
      <c r="E28" s="48"/>
      <c r="F28" s="48"/>
      <c r="G28" s="48"/>
      <c r="H28" s="48"/>
      <c r="I28" s="48"/>
      <c r="J28" s="1"/>
      <c r="K28" s="1"/>
      <c r="L28" s="1"/>
      <c r="M28" s="1"/>
    </row>
    <row r="29" spans="1:12" s="1" customFormat="1" ht="12">
      <c r="A29" s="43" t="s">
        <v>146</v>
      </c>
      <c r="B29" s="56"/>
      <c r="C29" s="56"/>
      <c r="D29" s="56"/>
      <c r="E29" s="56"/>
      <c r="F29" s="56" t="s">
        <v>152</v>
      </c>
      <c r="G29" s="56" t="s">
        <v>151</v>
      </c>
      <c r="H29" s="56" t="s">
        <v>78</v>
      </c>
      <c r="I29" s="56"/>
      <c r="J29" s="54"/>
      <c r="K29" s="54"/>
      <c r="L29" s="1" t="s">
        <v>153</v>
      </c>
    </row>
    <row r="30" spans="1:11" s="1" customFormat="1" ht="12">
      <c r="A30" s="43" t="s">
        <v>150</v>
      </c>
      <c r="B30" s="56"/>
      <c r="C30" s="56"/>
      <c r="D30" s="56"/>
      <c r="E30" s="56"/>
      <c r="F30" s="56" t="str">
        <f>F27</f>
        <v>φ12@110</v>
      </c>
      <c r="G30" s="57">
        <f>INT((0.35*K6+H6/3)/10)*10</f>
        <v>1360</v>
      </c>
      <c r="H30" s="56">
        <f>F19</f>
        <v>999.3023570589712</v>
      </c>
      <c r="I30" s="56"/>
      <c r="J30" s="54"/>
      <c r="K30" s="54"/>
    </row>
    <row r="31" spans="1:11" s="1" customFormat="1" ht="12">
      <c r="A31" s="43" t="s">
        <v>150</v>
      </c>
      <c r="B31" s="56"/>
      <c r="C31" s="56"/>
      <c r="D31" s="56"/>
      <c r="E31" s="56"/>
      <c r="F31" s="56" t="str">
        <f>F27</f>
        <v>φ12@110</v>
      </c>
      <c r="G31" s="57">
        <f>INT((0.2*K6+H6/3)/10)*10</f>
        <v>890</v>
      </c>
      <c r="H31" s="56">
        <f>F19</f>
        <v>999.3023570589712</v>
      </c>
      <c r="I31" s="56"/>
      <c r="J31" s="54"/>
      <c r="K31" s="54"/>
    </row>
    <row r="32" spans="1:11" s="1" customFormat="1" ht="12">
      <c r="A32" s="43" t="s">
        <v>157</v>
      </c>
      <c r="B32" s="56"/>
      <c r="C32" s="56"/>
      <c r="D32" s="56"/>
      <c r="E32" s="56"/>
      <c r="F32" s="56" t="str">
        <f>G27</f>
        <v>φ12@200</v>
      </c>
      <c r="G32" s="57">
        <f>F1*1000</f>
        <v>3400</v>
      </c>
      <c r="H32" s="56">
        <f>G19</f>
        <v>536.2499999999999</v>
      </c>
      <c r="I32" s="56"/>
      <c r="J32" s="54"/>
      <c r="K32" s="54"/>
    </row>
    <row r="33" spans="1:11" s="1" customFormat="1" ht="12">
      <c r="A33" s="43" t="s">
        <v>156</v>
      </c>
      <c r="B33" s="56"/>
      <c r="C33" s="56"/>
      <c r="D33" s="56"/>
      <c r="E33" s="56"/>
      <c r="F33" s="56"/>
      <c r="G33" s="57"/>
      <c r="H33" s="56"/>
      <c r="I33" s="56"/>
      <c r="J33" s="54"/>
      <c r="K33" s="54"/>
    </row>
    <row r="34" spans="1:11" s="1" customFormat="1" ht="12">
      <c r="A34" s="43" t="s">
        <v>155</v>
      </c>
      <c r="B34" s="48"/>
      <c r="C34" s="48"/>
      <c r="D34" s="48"/>
      <c r="E34" s="48"/>
      <c r="F34" s="48" t="str">
        <f>G27</f>
        <v>φ12@200</v>
      </c>
      <c r="G34" s="57">
        <f>0.25*K6+H6/3</f>
        <v>1050</v>
      </c>
      <c r="H34" s="48">
        <f>H19</f>
        <v>536.2499999999999</v>
      </c>
      <c r="I34" s="48"/>
      <c r="J34" s="54"/>
      <c r="K34" s="54"/>
    </row>
    <row r="35" spans="1:11" s="1" customFormat="1" ht="12.75">
      <c r="A35" s="43" t="s">
        <v>154</v>
      </c>
      <c r="B35" s="48"/>
      <c r="C35" s="48"/>
      <c r="D35" s="48"/>
      <c r="E35" s="48"/>
      <c r="F35" s="48" t="str">
        <f>I27</f>
        <v>φ12@200</v>
      </c>
      <c r="G35" s="48">
        <f>G32</f>
        <v>3400</v>
      </c>
      <c r="H35" s="48">
        <f>I19</f>
        <v>536.2499999999999</v>
      </c>
      <c r="I35" s="48"/>
      <c r="J35" s="55"/>
      <c r="K35" s="55"/>
    </row>
    <row r="36" spans="1:11" s="1" customFormat="1" ht="12.75">
      <c r="A36" s="43"/>
      <c r="B36" s="48"/>
      <c r="C36" s="48"/>
      <c r="D36" s="48"/>
      <c r="E36" s="48"/>
      <c r="F36" s="48"/>
      <c r="G36" s="48"/>
      <c r="H36" s="48"/>
      <c r="I36" s="48"/>
      <c r="J36" s="55"/>
      <c r="K36" s="55"/>
    </row>
    <row r="37" spans="1:11" s="1" customFormat="1" ht="12.75">
      <c r="A37" s="43"/>
      <c r="B37" s="48"/>
      <c r="C37" s="48"/>
      <c r="D37" s="48"/>
      <c r="E37" s="48"/>
      <c r="F37" s="48"/>
      <c r="G37" s="48"/>
      <c r="H37" s="48"/>
      <c r="I37" s="48"/>
      <c r="J37" s="55"/>
      <c r="K37" s="55"/>
    </row>
    <row r="38" spans="1:11" s="1" customFormat="1" ht="12.75">
      <c r="A38" s="43"/>
      <c r="B38" s="48"/>
      <c r="C38" s="48"/>
      <c r="D38" s="48"/>
      <c r="E38" s="48"/>
      <c r="F38" s="48"/>
      <c r="G38" s="48"/>
      <c r="H38" s="48"/>
      <c r="I38" s="48"/>
      <c r="J38" s="55"/>
      <c r="K38" s="55"/>
    </row>
    <row r="39" spans="1:57" s="1" customFormat="1" ht="12">
      <c r="A39" s="43"/>
      <c r="B39" s="14"/>
      <c r="C39" s="14"/>
      <c r="D39" s="14"/>
      <c r="E39" s="14"/>
      <c r="F39" s="14"/>
      <c r="G39" s="14"/>
      <c r="H39" s="14"/>
      <c r="I39" s="14"/>
      <c r="J39" s="54"/>
      <c r="K39" s="54"/>
      <c r="L39" s="3"/>
      <c r="M39" s="3"/>
      <c r="N39" s="14"/>
      <c r="AU39" s="10"/>
      <c r="BE39" s="10"/>
    </row>
    <row r="40" spans="1:30" s="15" customFormat="1" ht="14.25">
      <c r="A40" s="2"/>
      <c r="B40" s="14"/>
      <c r="F40" s="14"/>
      <c r="G40" s="14"/>
      <c r="H40" s="14"/>
      <c r="I40" s="335" t="s">
        <v>132</v>
      </c>
      <c r="J40" s="335"/>
      <c r="K40" s="335"/>
      <c r="L40" s="335" t="s">
        <v>133</v>
      </c>
      <c r="M40" s="335"/>
      <c r="N40" s="335"/>
      <c r="V40" s="1"/>
      <c r="AD40" s="1"/>
    </row>
    <row r="41" spans="1:46" s="15" customFormat="1" ht="14.25">
      <c r="A41" s="2" t="s">
        <v>42</v>
      </c>
      <c r="B41" s="2" t="s">
        <v>1</v>
      </c>
      <c r="C41" s="2" t="s">
        <v>43</v>
      </c>
      <c r="D41" s="1" t="s">
        <v>44</v>
      </c>
      <c r="E41" s="339" t="s">
        <v>45</v>
      </c>
      <c r="F41" s="339"/>
      <c r="G41" s="339" t="s">
        <v>50</v>
      </c>
      <c r="H41" s="339"/>
      <c r="I41" s="2" t="s">
        <v>76</v>
      </c>
      <c r="J41" s="2" t="s">
        <v>66</v>
      </c>
      <c r="K41" s="2" t="s">
        <v>174</v>
      </c>
      <c r="L41" s="2" t="s">
        <v>76</v>
      </c>
      <c r="M41" s="2" t="s">
        <v>66</v>
      </c>
      <c r="N41" s="2" t="s">
        <v>174</v>
      </c>
      <c r="R41" s="1"/>
      <c r="V41" s="1"/>
      <c r="Z41" s="1"/>
      <c r="AD41" s="1"/>
      <c r="AH41" s="1"/>
      <c r="AL41" s="7"/>
      <c r="AM41" s="7"/>
      <c r="AN41" s="7"/>
      <c r="AO41" s="7"/>
      <c r="AQ41" s="7"/>
      <c r="AR41" s="7"/>
      <c r="AS41" s="7"/>
      <c r="AT41" s="7"/>
    </row>
    <row r="42" spans="1:43" s="15" customFormat="1" ht="14.25">
      <c r="A42" s="2" t="s">
        <v>46</v>
      </c>
      <c r="B42" s="2" t="s">
        <v>0</v>
      </c>
      <c r="C42" s="2" t="s">
        <v>47</v>
      </c>
      <c r="D42" s="1" t="s">
        <v>46</v>
      </c>
      <c r="E42" s="2" t="s">
        <v>48</v>
      </c>
      <c r="F42" s="2" t="s">
        <v>49</v>
      </c>
      <c r="G42" s="2" t="s">
        <v>136</v>
      </c>
      <c r="H42" s="2" t="s">
        <v>72</v>
      </c>
      <c r="I42" s="2" t="s">
        <v>52</v>
      </c>
      <c r="J42" s="2" t="s">
        <v>73</v>
      </c>
      <c r="K42" s="2" t="s">
        <v>175</v>
      </c>
      <c r="L42" s="2" t="s">
        <v>52</v>
      </c>
      <c r="M42" s="2" t="s">
        <v>73</v>
      </c>
      <c r="N42" s="2" t="s">
        <v>175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Q42" s="1"/>
    </row>
    <row r="43" spans="1:37" s="15" customFormat="1" ht="14.25">
      <c r="A43" s="1"/>
      <c r="B43" s="1"/>
      <c r="C43" s="1"/>
      <c r="D43" s="1"/>
      <c r="E43" s="1"/>
      <c r="F43" s="1"/>
      <c r="G43" s="2" t="s">
        <v>64</v>
      </c>
      <c r="H43" s="2" t="s">
        <v>64</v>
      </c>
      <c r="I43" s="2"/>
      <c r="J43" s="2"/>
      <c r="K43" s="2"/>
      <c r="L43" s="2"/>
      <c r="M43" s="2"/>
      <c r="N43" s="2" t="s">
        <v>56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66" s="15" customFormat="1" ht="14.25">
      <c r="A44" s="1"/>
      <c r="B44" s="1"/>
      <c r="C44" s="1"/>
      <c r="D44" s="1"/>
      <c r="E44" s="1"/>
      <c r="F44" s="1"/>
      <c r="G44" s="1"/>
      <c r="H44" s="1"/>
      <c r="I44" s="2" t="s">
        <v>93</v>
      </c>
      <c r="J44" s="2" t="s">
        <v>93</v>
      </c>
      <c r="K44" s="2"/>
      <c r="L44" s="2" t="s">
        <v>93</v>
      </c>
      <c r="M44" s="2" t="s">
        <v>93</v>
      </c>
      <c r="N44" s="2" t="s">
        <v>93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15" customFormat="1" ht="14.25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37" s="1" customFormat="1" ht="12">
      <c r="A46" s="2">
        <f>$F$4</f>
        <v>40</v>
      </c>
      <c r="B46" s="2">
        <f>F$3</f>
        <v>250</v>
      </c>
      <c r="C46" s="3">
        <f>$F$1</f>
        <v>3.4</v>
      </c>
      <c r="D46" s="61">
        <f>B46*25/1000+'总参数页'!F7</f>
        <v>6.25</v>
      </c>
      <c r="E46" s="2">
        <f>I$1</f>
        <v>1.2</v>
      </c>
      <c r="F46" s="2">
        <f>I$2</f>
        <v>1.3</v>
      </c>
      <c r="G46" s="2">
        <f>(D46*E46+A46*F46)*F2</f>
        <v>178.5</v>
      </c>
      <c r="H46" s="100">
        <f>(D46+A46)*F2</f>
        <v>138.75</v>
      </c>
      <c r="I46" s="3">
        <f>G46*(F$1-H6/1000/3)^2</f>
        <v>1752.4733333333334</v>
      </c>
      <c r="J46" s="3">
        <f>H46*(F$1-H6/1000/3)^2</f>
        <v>1362.2166666666667</v>
      </c>
      <c r="K46" s="3">
        <f>(A46*K5+D46)*F2*(F$1-H6/1000/3)^2</f>
        <v>890.9633333333334</v>
      </c>
      <c r="L46" s="3">
        <f>G46*(F$1-2*H6/1000/3)^2</f>
        <v>1466.8733333333334</v>
      </c>
      <c r="M46" s="3">
        <f>H46*(F$1-2*H6/1000/3)^2</f>
        <v>1140.2166666666667</v>
      </c>
      <c r="N46" s="3">
        <f>(D46+A46*K5)*F2*(F1-2*H6/1000/3)^2</f>
        <v>745.7633333333333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1" customFormat="1" ht="12">
      <c r="A47" s="2"/>
      <c r="B47" s="2"/>
      <c r="C47" s="6"/>
      <c r="D47" s="6"/>
      <c r="E47" s="2"/>
      <c r="F47" s="2"/>
      <c r="G47" s="2"/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13" s="1" customFormat="1" ht="14.25">
      <c r="B48" s="118" t="s">
        <v>172</v>
      </c>
      <c r="C48" s="15"/>
      <c r="D48" s="15"/>
      <c r="E48" s="15"/>
      <c r="F48" s="15"/>
      <c r="G48" s="15"/>
      <c r="H48" s="15"/>
      <c r="I48" s="15"/>
      <c r="L48" s="7"/>
      <c r="M48" s="7"/>
    </row>
    <row r="49" spans="2:13" s="1" customFormat="1" ht="14.25">
      <c r="B49" s="1" t="s">
        <v>58</v>
      </c>
      <c r="C49" s="15"/>
      <c r="D49" s="15"/>
      <c r="E49" s="15"/>
      <c r="F49" s="1" t="s">
        <v>59</v>
      </c>
      <c r="G49" s="15"/>
      <c r="H49" s="15"/>
      <c r="I49" s="15"/>
      <c r="L49" s="7"/>
      <c r="M49" s="7"/>
    </row>
    <row r="50" spans="2:13" s="1" customFormat="1" ht="12">
      <c r="B50" s="1" t="s">
        <v>91</v>
      </c>
      <c r="D50" s="1" t="s">
        <v>92</v>
      </c>
      <c r="F50" s="118" t="s">
        <v>91</v>
      </c>
      <c r="G50" s="118"/>
      <c r="H50" s="118" t="s">
        <v>92</v>
      </c>
      <c r="I50" s="118"/>
      <c r="L50" s="7"/>
      <c r="M50" s="7"/>
    </row>
    <row r="51" spans="2:37" s="1" customFormat="1" ht="12">
      <c r="B51" s="2" t="s">
        <v>56</v>
      </c>
      <c r="C51" s="2" t="s">
        <v>53</v>
      </c>
      <c r="D51" s="2" t="s">
        <v>56</v>
      </c>
      <c r="E51" s="2" t="s">
        <v>53</v>
      </c>
      <c r="F51" s="120" t="s">
        <v>54</v>
      </c>
      <c r="G51" s="120" t="s">
        <v>57</v>
      </c>
      <c r="H51" s="120" t="s">
        <v>54</v>
      </c>
      <c r="I51" s="120" t="s">
        <v>57</v>
      </c>
      <c r="L51" s="7"/>
      <c r="M51" s="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1" customFormat="1" ht="12">
      <c r="B52" s="2" t="s">
        <v>93</v>
      </c>
      <c r="C52" s="2" t="s">
        <v>93</v>
      </c>
      <c r="D52" s="2" t="s">
        <v>93</v>
      </c>
      <c r="E52" s="2" t="s">
        <v>93</v>
      </c>
      <c r="F52" s="120" t="s">
        <v>93</v>
      </c>
      <c r="G52" s="120" t="s">
        <v>93</v>
      </c>
      <c r="H52" s="120" t="s">
        <v>93</v>
      </c>
      <c r="I52" s="120" t="s">
        <v>93</v>
      </c>
      <c r="L52" s="7"/>
      <c r="M52" s="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s="1" customFormat="1" ht="12">
      <c r="A53" s="7" t="s">
        <v>51</v>
      </c>
      <c r="B53" s="1">
        <f>'X向计算'!B53</f>
        <v>0.10490000000000001</v>
      </c>
      <c r="C53" s="1">
        <f>'X向计算'!C53</f>
        <v>0.0779</v>
      </c>
      <c r="D53" s="1">
        <f>'X向计算'!D53</f>
        <v>0.10490000000000001</v>
      </c>
      <c r="E53" s="1">
        <f>'X向计算'!E53</f>
        <v>0.0779</v>
      </c>
      <c r="F53" s="1">
        <f>'X向计算'!F53</f>
        <v>0.0791</v>
      </c>
      <c r="G53" s="1">
        <f>'X向计算'!G53</f>
        <v>0.046900000000000004</v>
      </c>
      <c r="H53" s="1">
        <f>'X向计算'!H53</f>
        <v>0.0791</v>
      </c>
      <c r="I53" s="1">
        <f>'X向计算'!I53</f>
        <v>0.046900000000000004</v>
      </c>
      <c r="L53" s="7"/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s="1" customFormat="1" ht="12">
      <c r="A54" s="7"/>
      <c r="B54" s="1">
        <v>0.75</v>
      </c>
      <c r="C54" s="1">
        <v>0.55</v>
      </c>
      <c r="D54" s="1">
        <v>0.25</v>
      </c>
      <c r="E54" s="1">
        <v>0.45</v>
      </c>
      <c r="F54" s="1">
        <v>0.75</v>
      </c>
      <c r="G54" s="1">
        <v>0.55</v>
      </c>
      <c r="H54" s="1">
        <v>0.25</v>
      </c>
      <c r="I54" s="1">
        <v>0.45</v>
      </c>
      <c r="L54" s="7"/>
      <c r="M54" s="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9" s="1" customFormat="1" ht="12">
      <c r="A55" s="7" t="s">
        <v>121</v>
      </c>
      <c r="B55" s="1">
        <f>$L$1</f>
        <v>1</v>
      </c>
      <c r="C55" s="1">
        <f>1+(1-B55)</f>
        <v>1</v>
      </c>
      <c r="D55" s="1">
        <f>$L$1</f>
        <v>1</v>
      </c>
      <c r="E55" s="1">
        <f>1+(1-D55)</f>
        <v>1</v>
      </c>
      <c r="F55" s="1">
        <f>$L$1</f>
        <v>1</v>
      </c>
      <c r="G55" s="1">
        <f>1+(1-F55)</f>
        <v>1</v>
      </c>
      <c r="H55" s="1">
        <f>$L$1</f>
        <v>1</v>
      </c>
      <c r="I55" s="1">
        <f>1+(1-H55)</f>
        <v>1</v>
      </c>
    </row>
    <row r="56" spans="1:9" s="1" customFormat="1" ht="12">
      <c r="A56" s="7"/>
      <c r="B56" s="61">
        <f aca="true" t="shared" si="10" ref="B56:I56">B53*B54*B55</f>
        <v>0.07867500000000001</v>
      </c>
      <c r="C56" s="61">
        <f t="shared" si="10"/>
        <v>0.042845</v>
      </c>
      <c r="D56" s="61">
        <f t="shared" si="10"/>
        <v>0.026225000000000002</v>
      </c>
      <c r="E56" s="61">
        <f t="shared" si="10"/>
        <v>0.035055</v>
      </c>
      <c r="F56" s="61">
        <f t="shared" si="10"/>
        <v>0.059325</v>
      </c>
      <c r="G56" s="61">
        <f t="shared" si="10"/>
        <v>0.025795000000000005</v>
      </c>
      <c r="H56" s="61">
        <f t="shared" si="10"/>
        <v>0.019775</v>
      </c>
      <c r="I56" s="61">
        <f t="shared" si="10"/>
        <v>0.021105000000000002</v>
      </c>
    </row>
    <row r="57" spans="1:37" s="1" customFormat="1" ht="12">
      <c r="A57" s="7" t="s">
        <v>122</v>
      </c>
      <c r="B57" s="3">
        <f>$I$46*B53</f>
        <v>183.8344526666667</v>
      </c>
      <c r="C57" s="3">
        <f>$I$46*C53</f>
        <v>136.51767266666667</v>
      </c>
      <c r="D57" s="3">
        <f>$I$46*D53</f>
        <v>183.8344526666667</v>
      </c>
      <c r="E57" s="3">
        <f>$I$46*E53</f>
        <v>136.51767266666667</v>
      </c>
      <c r="F57" s="3">
        <f>$L$46*F53</f>
        <v>116.02968066666668</v>
      </c>
      <c r="G57" s="3">
        <f>$L$46*G53</f>
        <v>68.79635933333334</v>
      </c>
      <c r="H57" s="3">
        <f>$L$46*H53</f>
        <v>116.02968066666668</v>
      </c>
      <c r="I57" s="3">
        <f>$L$46*I53</f>
        <v>68.79635933333334</v>
      </c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1" customFormat="1" ht="12">
      <c r="A58" s="7" t="s">
        <v>123</v>
      </c>
      <c r="B58" s="3">
        <f>B57*B55</f>
        <v>183.8344526666667</v>
      </c>
      <c r="C58" s="3">
        <f>C57*C55</f>
        <v>136.51767266666667</v>
      </c>
      <c r="D58" s="3">
        <f>D57*D55</f>
        <v>183.8344526666667</v>
      </c>
      <c r="E58" s="3">
        <f>E57*E55</f>
        <v>136.51767266666667</v>
      </c>
      <c r="F58" s="178">
        <f>F57*F55</f>
        <v>116.02968066666668</v>
      </c>
      <c r="G58" s="178">
        <f>G57+(F57-F58)</f>
        <v>68.79635933333334</v>
      </c>
      <c r="H58" s="178">
        <f>H57*H55</f>
        <v>116.02968066666668</v>
      </c>
      <c r="I58" s="178">
        <f>I57+(H57-H58)</f>
        <v>68.79635933333334</v>
      </c>
      <c r="L58" s="2"/>
      <c r="M58" s="2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9" s="1" customFormat="1" ht="12">
      <c r="A59" s="7" t="s">
        <v>124</v>
      </c>
      <c r="B59" s="3">
        <f aca="true" t="shared" si="11" ref="B59:I59">B58*B54</f>
        <v>137.8758395</v>
      </c>
      <c r="C59" s="3">
        <f t="shared" si="11"/>
        <v>75.08471996666667</v>
      </c>
      <c r="D59" s="3">
        <f t="shared" si="11"/>
        <v>45.95861316666667</v>
      </c>
      <c r="E59" s="3">
        <f t="shared" si="11"/>
        <v>61.4329527</v>
      </c>
      <c r="F59" s="178">
        <f t="shared" si="11"/>
        <v>87.02226050000002</v>
      </c>
      <c r="G59" s="178">
        <f t="shared" si="11"/>
        <v>37.837997633333345</v>
      </c>
      <c r="H59" s="178">
        <f t="shared" si="11"/>
        <v>29.00742016666667</v>
      </c>
      <c r="I59" s="178">
        <f t="shared" si="11"/>
        <v>30.958361700000005</v>
      </c>
    </row>
    <row r="60" spans="1:37" s="1" customFormat="1" ht="12">
      <c r="A60" s="7" t="s">
        <v>125</v>
      </c>
      <c r="B60" s="3">
        <f aca="true" t="shared" si="12" ref="B60:I60">B59/($F$2/2)</f>
        <v>91.91722633333335</v>
      </c>
      <c r="C60" s="3">
        <f t="shared" si="12"/>
        <v>50.05647997777778</v>
      </c>
      <c r="D60" s="3">
        <f t="shared" si="12"/>
        <v>30.639075444444448</v>
      </c>
      <c r="E60" s="3">
        <f t="shared" si="12"/>
        <v>40.9553018</v>
      </c>
      <c r="F60" s="178">
        <f t="shared" si="12"/>
        <v>58.014840333333346</v>
      </c>
      <c r="G60" s="178">
        <f t="shared" si="12"/>
        <v>25.225331755555562</v>
      </c>
      <c r="H60" s="178">
        <f t="shared" si="12"/>
        <v>19.338280111111114</v>
      </c>
      <c r="I60" s="178">
        <f t="shared" si="12"/>
        <v>20.638907800000002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1" customFormat="1" ht="12">
      <c r="A61" s="1" t="s">
        <v>77</v>
      </c>
      <c r="B61" s="3">
        <f aca="true" t="shared" si="13" ref="B61:I61">$F$3</f>
        <v>250</v>
      </c>
      <c r="C61" s="3">
        <f t="shared" si="13"/>
        <v>250</v>
      </c>
      <c r="D61" s="3">
        <f t="shared" si="13"/>
        <v>250</v>
      </c>
      <c r="E61" s="3">
        <f t="shared" si="13"/>
        <v>250</v>
      </c>
      <c r="F61" s="3">
        <f t="shared" si="13"/>
        <v>250</v>
      </c>
      <c r="G61" s="3">
        <f t="shared" si="13"/>
        <v>250</v>
      </c>
      <c r="H61" s="3">
        <f t="shared" si="13"/>
        <v>250</v>
      </c>
      <c r="I61" s="3">
        <f t="shared" si="13"/>
        <v>250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9" s="1" customFormat="1" ht="12">
      <c r="A62" s="1" t="s">
        <v>60</v>
      </c>
      <c r="B62" s="3">
        <f aca="true" t="shared" si="14" ref="B62:I62">B61-$K$2-$N$1/2</f>
        <v>204</v>
      </c>
      <c r="C62" s="3">
        <f t="shared" si="14"/>
        <v>204</v>
      </c>
      <c r="D62" s="3">
        <f t="shared" si="14"/>
        <v>204</v>
      </c>
      <c r="E62" s="3">
        <f t="shared" si="14"/>
        <v>204</v>
      </c>
      <c r="F62" s="3">
        <f t="shared" si="14"/>
        <v>204</v>
      </c>
      <c r="G62" s="3">
        <f t="shared" si="14"/>
        <v>204</v>
      </c>
      <c r="H62" s="3">
        <f t="shared" si="14"/>
        <v>204</v>
      </c>
      <c r="I62" s="3">
        <f t="shared" si="14"/>
        <v>204</v>
      </c>
    </row>
    <row r="63" spans="1:9" s="1" customFormat="1" ht="12">
      <c r="A63" s="2" t="s">
        <v>103</v>
      </c>
      <c r="B63" s="61">
        <f aca="true" t="shared" si="15" ref="B63:I63">B62-(B62^2-2*B60*1000000/($Q$6*1000))^0.5</f>
        <v>34.4109559273835</v>
      </c>
      <c r="C63" s="61">
        <f t="shared" si="15"/>
        <v>17.948679904168102</v>
      </c>
      <c r="D63" s="61">
        <f t="shared" si="15"/>
        <v>10.788161275881919</v>
      </c>
      <c r="E63" s="61">
        <f t="shared" si="15"/>
        <v>14.558753798868395</v>
      </c>
      <c r="F63" s="61">
        <f t="shared" si="15"/>
        <v>20.964385113125275</v>
      </c>
      <c r="G63" s="61">
        <f t="shared" si="15"/>
        <v>8.83857560304196</v>
      </c>
      <c r="H63" s="61">
        <f t="shared" si="15"/>
        <v>6.740411034075606</v>
      </c>
      <c r="I63" s="61">
        <f t="shared" si="15"/>
        <v>7.202033881110793</v>
      </c>
    </row>
    <row r="64" spans="1:9" s="1" customFormat="1" ht="12">
      <c r="A64" s="2" t="s">
        <v>378</v>
      </c>
      <c r="B64" s="61">
        <f aca="true" t="shared" si="16" ref="B64:I64">B63/B62</f>
        <v>0.16868115650678184</v>
      </c>
      <c r="C64" s="61">
        <f t="shared" si="16"/>
        <v>0.08798372502043188</v>
      </c>
      <c r="D64" s="61">
        <f t="shared" si="16"/>
        <v>0.05288314350922509</v>
      </c>
      <c r="E64" s="61">
        <f t="shared" si="16"/>
        <v>0.07136644019053134</v>
      </c>
      <c r="F64" s="61">
        <f t="shared" si="16"/>
        <v>0.10276659369179056</v>
      </c>
      <c r="G64" s="61">
        <f t="shared" si="16"/>
        <v>0.04332635099530373</v>
      </c>
      <c r="H64" s="61">
        <f t="shared" si="16"/>
        <v>0.03304123055919415</v>
      </c>
      <c r="I64" s="61">
        <f t="shared" si="16"/>
        <v>0.03530408765250389</v>
      </c>
    </row>
    <row r="65" spans="1:9" s="1" customFormat="1" ht="12">
      <c r="A65" s="2" t="s">
        <v>379</v>
      </c>
      <c r="B65" s="61">
        <f aca="true" t="shared" si="17" ref="B65:I65">B64*(1-0.5*B64)</f>
        <v>0.1544544902265491</v>
      </c>
      <c r="C65" s="61">
        <f t="shared" si="17"/>
        <v>0.08411315708619639</v>
      </c>
      <c r="D65" s="61">
        <f t="shared" si="17"/>
        <v>0.05148483007551644</v>
      </c>
      <c r="E65" s="61">
        <f t="shared" si="17"/>
        <v>0.068819855797797</v>
      </c>
      <c r="F65" s="61">
        <f t="shared" si="17"/>
        <v>0.09748610730228377</v>
      </c>
      <c r="G65" s="61">
        <f t="shared" si="17"/>
        <v>0.0423877646500196</v>
      </c>
      <c r="H65" s="61">
        <f t="shared" si="17"/>
        <v>0.032495369100761236</v>
      </c>
      <c r="I65" s="61">
        <f t="shared" si="17"/>
        <v>0.03468089835001605</v>
      </c>
    </row>
    <row r="66" spans="1:9" s="1" customFormat="1" ht="12">
      <c r="A66" s="2" t="s">
        <v>380</v>
      </c>
      <c r="B66" s="61">
        <f aca="true" t="shared" si="18" ref="B66:I66">1-0.58*B64</f>
        <v>0.9021649292260665</v>
      </c>
      <c r="C66" s="61">
        <f t="shared" si="18"/>
        <v>0.9489694394881495</v>
      </c>
      <c r="D66" s="61">
        <f t="shared" si="18"/>
        <v>0.9693277767646494</v>
      </c>
      <c r="E66" s="61">
        <f t="shared" si="18"/>
        <v>0.9586074646894919</v>
      </c>
      <c r="F66" s="61">
        <f t="shared" si="18"/>
        <v>0.9403953756587615</v>
      </c>
      <c r="G66" s="61">
        <f t="shared" si="18"/>
        <v>0.9748707164227238</v>
      </c>
      <c r="H66" s="61">
        <f t="shared" si="18"/>
        <v>0.9808360862756674</v>
      </c>
      <c r="I66" s="61">
        <f t="shared" si="18"/>
        <v>0.9795236291615478</v>
      </c>
    </row>
    <row r="67" spans="1:9" s="1" customFormat="1" ht="12">
      <c r="A67" s="2" t="s">
        <v>110</v>
      </c>
      <c r="B67" s="275">
        <f aca="true" t="shared" si="19" ref="B67:I67">$Q$6*1000*B63/$T$6</f>
        <v>1640.2555658719468</v>
      </c>
      <c r="C67" s="275">
        <f t="shared" si="19"/>
        <v>855.5537420986795</v>
      </c>
      <c r="D67" s="275">
        <f t="shared" si="19"/>
        <v>514.2356874837049</v>
      </c>
      <c r="E67" s="275">
        <f t="shared" si="19"/>
        <v>693.9672644127268</v>
      </c>
      <c r="F67" s="275">
        <f t="shared" si="19"/>
        <v>999.3023570589713</v>
      </c>
      <c r="G67" s="275">
        <f t="shared" si="19"/>
        <v>421.30543707833345</v>
      </c>
      <c r="H67" s="275">
        <f t="shared" si="19"/>
        <v>321.29292595760387</v>
      </c>
      <c r="I67" s="275">
        <f t="shared" si="19"/>
        <v>343.2969483329478</v>
      </c>
    </row>
    <row r="68" s="1" customFormat="1" ht="12"/>
    <row r="69" s="1" customFormat="1" ht="12"/>
    <row r="70" s="1" customFormat="1" ht="12"/>
    <row r="71" spans="12:13" s="1" customFormat="1" ht="12">
      <c r="L71" s="2"/>
      <c r="M71" s="2"/>
    </row>
    <row r="72" s="1" customFormat="1" ht="12"/>
    <row r="73" s="1" customFormat="1" ht="12"/>
    <row r="74" spans="2:9" s="1" customFormat="1" ht="12">
      <c r="B74" s="6"/>
      <c r="C74" s="6"/>
      <c r="D74" s="6"/>
      <c r="E74" s="6"/>
      <c r="F74" s="6"/>
      <c r="G74" s="6"/>
      <c r="H74" s="6"/>
      <c r="I74" s="6"/>
    </row>
    <row r="75" s="1" customFormat="1" ht="12"/>
    <row r="76" spans="1:13" s="1" customFormat="1" ht="12.75">
      <c r="A76" s="2"/>
      <c r="B76" s="6"/>
      <c r="C76" s="6"/>
      <c r="D76" s="6"/>
      <c r="E76" s="6"/>
      <c r="F76" s="6"/>
      <c r="G76" s="6"/>
      <c r="H76" s="6"/>
      <c r="I76" s="6"/>
      <c r="M76" s="55"/>
    </row>
    <row r="77" spans="1:13" s="1" customFormat="1" ht="12.75">
      <c r="A77" s="2"/>
      <c r="B77" s="6"/>
      <c r="C77" s="6"/>
      <c r="D77" s="6"/>
      <c r="E77" s="6"/>
      <c r="F77" s="6"/>
      <c r="G77" s="6"/>
      <c r="H77" s="6"/>
      <c r="I77" s="6"/>
      <c r="M77" s="55"/>
    </row>
    <row r="78" spans="2:13" s="1" customFormat="1" ht="14.25">
      <c r="B78" s="118" t="s">
        <v>173</v>
      </c>
      <c r="C78" s="15"/>
      <c r="D78" s="15"/>
      <c r="E78" s="15"/>
      <c r="F78" s="15"/>
      <c r="G78" s="15"/>
      <c r="H78" s="15"/>
      <c r="I78" s="15"/>
      <c r="M78" s="55"/>
    </row>
    <row r="79" spans="2:13" s="1" customFormat="1" ht="14.25">
      <c r="B79" s="1" t="s">
        <v>58</v>
      </c>
      <c r="C79" s="15"/>
      <c r="D79" s="15"/>
      <c r="E79" s="15"/>
      <c r="F79" s="1" t="s">
        <v>59</v>
      </c>
      <c r="G79" s="15"/>
      <c r="H79" s="15"/>
      <c r="I79" s="15"/>
      <c r="M79" s="55"/>
    </row>
    <row r="80" spans="2:13" s="1" customFormat="1" ht="12.75">
      <c r="B80" s="1" t="s">
        <v>91</v>
      </c>
      <c r="D80" s="1" t="s">
        <v>92</v>
      </c>
      <c r="F80" s="118" t="s">
        <v>91</v>
      </c>
      <c r="G80" s="118"/>
      <c r="H80" s="118" t="s">
        <v>92</v>
      </c>
      <c r="I80" s="118"/>
      <c r="M80" s="55"/>
    </row>
    <row r="81" spans="2:13" s="1" customFormat="1" ht="12.75">
      <c r="B81" s="2" t="s">
        <v>56</v>
      </c>
      <c r="C81" s="2" t="s">
        <v>53</v>
      </c>
      <c r="D81" s="2" t="s">
        <v>56</v>
      </c>
      <c r="E81" s="2" t="s">
        <v>53</v>
      </c>
      <c r="F81" s="120" t="s">
        <v>54</v>
      </c>
      <c r="G81" s="120" t="s">
        <v>57</v>
      </c>
      <c r="H81" s="120" t="s">
        <v>54</v>
      </c>
      <c r="I81" s="120" t="s">
        <v>57</v>
      </c>
      <c r="M81" s="55"/>
    </row>
    <row r="82" spans="2:13" s="1" customFormat="1" ht="12.75">
      <c r="B82" s="2" t="s">
        <v>93</v>
      </c>
      <c r="C82" s="2" t="s">
        <v>93</v>
      </c>
      <c r="D82" s="2" t="s">
        <v>93</v>
      </c>
      <c r="E82" s="2" t="s">
        <v>93</v>
      </c>
      <c r="F82" s="120" t="s">
        <v>93</v>
      </c>
      <c r="G82" s="120" t="s">
        <v>93</v>
      </c>
      <c r="H82" s="120" t="s">
        <v>93</v>
      </c>
      <c r="I82" s="120" t="s">
        <v>93</v>
      </c>
      <c r="M82" s="55"/>
    </row>
    <row r="83" spans="1:37" s="1" customFormat="1" ht="12">
      <c r="A83" s="7" t="s">
        <v>51</v>
      </c>
      <c r="B83" s="1">
        <f aca="true" t="shared" si="20" ref="B83:I83">B53</f>
        <v>0.10490000000000001</v>
      </c>
      <c r="C83" s="1">
        <f t="shared" si="20"/>
        <v>0.0779</v>
      </c>
      <c r="D83" s="1">
        <f t="shared" si="20"/>
        <v>0.10490000000000001</v>
      </c>
      <c r="E83" s="1">
        <f t="shared" si="20"/>
        <v>0.0779</v>
      </c>
      <c r="F83" s="1">
        <f t="shared" si="20"/>
        <v>0.0791</v>
      </c>
      <c r="G83" s="1">
        <f t="shared" si="20"/>
        <v>0.046900000000000004</v>
      </c>
      <c r="H83" s="1">
        <f t="shared" si="20"/>
        <v>0.0791</v>
      </c>
      <c r="I83" s="1">
        <f t="shared" si="20"/>
        <v>0.046900000000000004</v>
      </c>
      <c r="L83" s="7"/>
      <c r="M83" s="7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13" s="1" customFormat="1" ht="12.75">
      <c r="A84" s="7"/>
      <c r="B84" s="1">
        <v>0.75</v>
      </c>
      <c r="C84" s="1">
        <v>0.55</v>
      </c>
      <c r="D84" s="1">
        <v>0.25</v>
      </c>
      <c r="E84" s="1">
        <v>0.45</v>
      </c>
      <c r="F84" s="1">
        <v>0.75</v>
      </c>
      <c r="G84" s="1">
        <v>0.55</v>
      </c>
      <c r="H84" s="1">
        <v>0.25</v>
      </c>
      <c r="I84" s="1">
        <v>0.45</v>
      </c>
      <c r="M84" s="55"/>
    </row>
    <row r="85" spans="1:13" s="1" customFormat="1" ht="12.75">
      <c r="A85" s="7" t="s">
        <v>121</v>
      </c>
      <c r="B85" s="1">
        <f>$L$1</f>
        <v>1</v>
      </c>
      <c r="C85" s="1">
        <f>1+(1-B85)</f>
        <v>1</v>
      </c>
      <c r="D85" s="1">
        <f>$L$1</f>
        <v>1</v>
      </c>
      <c r="E85" s="1">
        <f>1+(1-D85)</f>
        <v>1</v>
      </c>
      <c r="F85" s="1">
        <f>$L$1</f>
        <v>1</v>
      </c>
      <c r="G85" s="1">
        <f>1+(1-F85)</f>
        <v>1</v>
      </c>
      <c r="H85" s="1">
        <f>$L$1</f>
        <v>1</v>
      </c>
      <c r="I85" s="1">
        <f>1+(1-H85)</f>
        <v>1</v>
      </c>
      <c r="M85" s="55"/>
    </row>
    <row r="86" spans="1:13" s="1" customFormat="1" ht="12.75">
      <c r="A86" s="7"/>
      <c r="B86" s="61">
        <f aca="true" t="shared" si="21" ref="B86:I86">B83*B84*B85</f>
        <v>0.07867500000000001</v>
      </c>
      <c r="C86" s="61">
        <f t="shared" si="21"/>
        <v>0.042845</v>
      </c>
      <c r="D86" s="61">
        <f t="shared" si="21"/>
        <v>0.026225000000000002</v>
      </c>
      <c r="E86" s="61">
        <f t="shared" si="21"/>
        <v>0.035055</v>
      </c>
      <c r="F86" s="61">
        <f t="shared" si="21"/>
        <v>0.059325</v>
      </c>
      <c r="G86" s="61">
        <f t="shared" si="21"/>
        <v>0.025795000000000005</v>
      </c>
      <c r="H86" s="61">
        <f t="shared" si="21"/>
        <v>0.019775</v>
      </c>
      <c r="I86" s="61">
        <f t="shared" si="21"/>
        <v>0.021105000000000002</v>
      </c>
      <c r="M86" s="55"/>
    </row>
    <row r="87" spans="1:9" s="15" customFormat="1" ht="14.25">
      <c r="A87" s="7" t="s">
        <v>122</v>
      </c>
      <c r="B87" s="3">
        <f>$J$46*B83</f>
        <v>142.89652833333335</v>
      </c>
      <c r="C87" s="3">
        <f>$J$46*C83</f>
        <v>106.11667833333333</v>
      </c>
      <c r="D87" s="3">
        <f>$J$46*D83</f>
        <v>142.89652833333335</v>
      </c>
      <c r="E87" s="3">
        <f>$J$46*E83</f>
        <v>106.11667833333333</v>
      </c>
      <c r="F87" s="3">
        <f>$M$46*F83</f>
        <v>90.19113833333334</v>
      </c>
      <c r="G87" s="3">
        <f>$M$46*G83</f>
        <v>53.47616166666667</v>
      </c>
      <c r="H87" s="3">
        <f>$M$46*H83</f>
        <v>90.19113833333334</v>
      </c>
      <c r="I87" s="3">
        <f>$M$46*I83</f>
        <v>53.47616166666667</v>
      </c>
    </row>
    <row r="88" spans="1:9" s="15" customFormat="1" ht="14.25">
      <c r="A88" s="7" t="s">
        <v>123</v>
      </c>
      <c r="B88" s="3">
        <f>B87*B85</f>
        <v>142.89652833333335</v>
      </c>
      <c r="C88" s="3">
        <f>C87*C85</f>
        <v>106.11667833333333</v>
      </c>
      <c r="D88" s="3">
        <f>D87*D85</f>
        <v>142.89652833333335</v>
      </c>
      <c r="E88" s="3">
        <f>E87*E85</f>
        <v>106.11667833333333</v>
      </c>
      <c r="F88" s="178">
        <f>F87*F85</f>
        <v>90.19113833333334</v>
      </c>
      <c r="G88" s="178">
        <f>G87+(F87-F88)</f>
        <v>53.47616166666667</v>
      </c>
      <c r="H88" s="178">
        <f>H87*H85</f>
        <v>90.19113833333334</v>
      </c>
      <c r="I88" s="178">
        <f>I87+(H87-H88)</f>
        <v>53.47616166666667</v>
      </c>
    </row>
    <row r="89" spans="1:9" s="15" customFormat="1" ht="14.25">
      <c r="A89" s="7" t="s">
        <v>124</v>
      </c>
      <c r="B89" s="3">
        <f aca="true" t="shared" si="22" ref="B89:I89">B88*B84</f>
        <v>107.17239625000002</v>
      </c>
      <c r="C89" s="3">
        <f t="shared" si="22"/>
        <v>58.364173083333334</v>
      </c>
      <c r="D89" s="3">
        <f t="shared" si="22"/>
        <v>35.72413208333334</v>
      </c>
      <c r="E89" s="3">
        <f t="shared" si="22"/>
        <v>47.75250525</v>
      </c>
      <c r="F89" s="178">
        <f t="shared" si="22"/>
        <v>67.64335375</v>
      </c>
      <c r="G89" s="178">
        <f t="shared" si="22"/>
        <v>29.41188891666667</v>
      </c>
      <c r="H89" s="178">
        <f t="shared" si="22"/>
        <v>22.547784583333335</v>
      </c>
      <c r="I89" s="178">
        <f t="shared" si="22"/>
        <v>24.06427275</v>
      </c>
    </row>
    <row r="90" spans="1:9" ht="14.25">
      <c r="A90" s="7" t="s">
        <v>125</v>
      </c>
      <c r="B90" s="3">
        <f aca="true" t="shared" si="23" ref="B90:I90">B89/($F$2/2)</f>
        <v>71.44826416666668</v>
      </c>
      <c r="C90" s="3">
        <f t="shared" si="23"/>
        <v>38.90944872222222</v>
      </c>
      <c r="D90" s="3">
        <f t="shared" si="23"/>
        <v>23.816088055555557</v>
      </c>
      <c r="E90" s="3">
        <f t="shared" si="23"/>
        <v>31.8350035</v>
      </c>
      <c r="F90" s="178">
        <f t="shared" si="23"/>
        <v>45.09556916666667</v>
      </c>
      <c r="G90" s="178">
        <f t="shared" si="23"/>
        <v>19.607925944444446</v>
      </c>
      <c r="H90" s="178">
        <f t="shared" si="23"/>
        <v>15.03185638888889</v>
      </c>
      <c r="I90" s="178">
        <f t="shared" si="23"/>
        <v>16.0428485</v>
      </c>
    </row>
    <row r="91" spans="1:9" ht="14.25">
      <c r="A91" s="1" t="s">
        <v>77</v>
      </c>
      <c r="B91" s="3">
        <f aca="true" t="shared" si="24" ref="B91:I91">$F$3</f>
        <v>250</v>
      </c>
      <c r="C91" s="3">
        <f t="shared" si="24"/>
        <v>250</v>
      </c>
      <c r="D91" s="3">
        <f t="shared" si="24"/>
        <v>250</v>
      </c>
      <c r="E91" s="3">
        <f t="shared" si="24"/>
        <v>250</v>
      </c>
      <c r="F91" s="122">
        <f t="shared" si="24"/>
        <v>250</v>
      </c>
      <c r="G91" s="122">
        <f t="shared" si="24"/>
        <v>250</v>
      </c>
      <c r="H91" s="122">
        <f t="shared" si="24"/>
        <v>250</v>
      </c>
      <c r="I91" s="122">
        <f t="shared" si="24"/>
        <v>250</v>
      </c>
    </row>
    <row r="92" spans="1:9" ht="14.25">
      <c r="A92" s="1" t="s">
        <v>60</v>
      </c>
      <c r="B92" s="3">
        <f aca="true" t="shared" si="25" ref="B92:I92">B91-$K$2-$N$1/2</f>
        <v>204</v>
      </c>
      <c r="C92" s="3">
        <f t="shared" si="25"/>
        <v>204</v>
      </c>
      <c r="D92" s="3">
        <f t="shared" si="25"/>
        <v>204</v>
      </c>
      <c r="E92" s="3">
        <f t="shared" si="25"/>
        <v>204</v>
      </c>
      <c r="F92" s="3">
        <f t="shared" si="25"/>
        <v>204</v>
      </c>
      <c r="G92" s="3">
        <f t="shared" si="25"/>
        <v>204</v>
      </c>
      <c r="H92" s="3">
        <f t="shared" si="25"/>
        <v>204</v>
      </c>
      <c r="I92" s="3">
        <f t="shared" si="25"/>
        <v>204</v>
      </c>
    </row>
    <row r="93" spans="1:9" ht="14.25">
      <c r="A93" s="2" t="s">
        <v>103</v>
      </c>
      <c r="B93" s="61">
        <f aca="true" t="shared" si="26" ref="B93:I93">B92-(B92^2-2*B90*1000000/($Q$6*1000))^0.5</f>
        <v>26.17076792358975</v>
      </c>
      <c r="C93" s="61">
        <f t="shared" si="26"/>
        <v>13.805049857181928</v>
      </c>
      <c r="D93" s="61">
        <f t="shared" si="26"/>
        <v>8.334268218401121</v>
      </c>
      <c r="E93" s="61">
        <f t="shared" si="26"/>
        <v>11.221495082978834</v>
      </c>
      <c r="F93" s="61">
        <f t="shared" si="26"/>
        <v>16.093301371991032</v>
      </c>
      <c r="G93" s="61">
        <f t="shared" si="26"/>
        <v>6.83602576778199</v>
      </c>
      <c r="H93" s="61">
        <f t="shared" si="26"/>
        <v>5.219612478764759</v>
      </c>
      <c r="I93" s="61">
        <f t="shared" si="26"/>
        <v>5.575593827183241</v>
      </c>
    </row>
    <row r="94" spans="1:9" ht="14.25">
      <c r="A94" s="2" t="s">
        <v>110</v>
      </c>
      <c r="B94" s="6">
        <f aca="true" t="shared" si="27" ref="B94:I94">$Q$6*1000*B93/$T$6</f>
        <v>1247.4732710244448</v>
      </c>
      <c r="C94" s="6">
        <f t="shared" si="27"/>
        <v>658.0407098590052</v>
      </c>
      <c r="D94" s="6">
        <f t="shared" si="27"/>
        <v>397.2667850771201</v>
      </c>
      <c r="E94" s="6">
        <f t="shared" si="27"/>
        <v>534.8912656219911</v>
      </c>
      <c r="F94" s="6">
        <f t="shared" si="27"/>
        <v>767.1140320649058</v>
      </c>
      <c r="G94" s="6">
        <f t="shared" si="27"/>
        <v>325.85056159760825</v>
      </c>
      <c r="H94" s="6">
        <f t="shared" si="27"/>
        <v>248.8015281544535</v>
      </c>
      <c r="I94" s="6">
        <f t="shared" si="27"/>
        <v>265.7699724290678</v>
      </c>
    </row>
    <row r="95" spans="1:20" ht="14.25">
      <c r="A95" s="1" t="s">
        <v>83</v>
      </c>
      <c r="B95" s="1">
        <f aca="true" t="shared" si="28" ref="B95:I95">MAX(0.002,45*ft/fy/100)</f>
        <v>0.0021449999999999998</v>
      </c>
      <c r="C95" s="1">
        <f t="shared" si="28"/>
        <v>0.0021449999999999998</v>
      </c>
      <c r="D95" s="1">
        <f t="shared" si="28"/>
        <v>0.0021449999999999998</v>
      </c>
      <c r="E95" s="1">
        <f t="shared" si="28"/>
        <v>0.0021449999999999998</v>
      </c>
      <c r="F95" s="1">
        <f t="shared" si="28"/>
        <v>0.0021449999999999998</v>
      </c>
      <c r="G95" s="1">
        <f t="shared" si="28"/>
        <v>0.0021449999999999998</v>
      </c>
      <c r="H95" s="1">
        <f t="shared" si="28"/>
        <v>0.0021449999999999998</v>
      </c>
      <c r="I95" s="1">
        <f t="shared" si="28"/>
        <v>0.0021449999999999998</v>
      </c>
      <c r="K95" s="54"/>
      <c r="L95" s="2"/>
      <c r="M95" s="2"/>
      <c r="N95" s="1">
        <f>IF(N58/(0.5*1000*$F$3)&lt;0.01,0.01,N58/(0.5*1000*$F$3))</f>
        <v>0.01</v>
      </c>
      <c r="O95" s="1"/>
      <c r="P95" s="1"/>
      <c r="Q95" s="1"/>
      <c r="R95" s="1"/>
      <c r="S95" s="1"/>
      <c r="T95" s="1"/>
    </row>
    <row r="96" spans="1:20" ht="14.25">
      <c r="A96" s="1" t="s">
        <v>76</v>
      </c>
      <c r="B96" s="1"/>
      <c r="C96" s="1"/>
      <c r="D96" s="1"/>
      <c r="E96" s="1"/>
      <c r="F96" s="1"/>
      <c r="G96" s="264"/>
      <c r="H96" s="1"/>
      <c r="I96" s="1"/>
      <c r="K96" s="54"/>
      <c r="L96" s="2"/>
      <c r="M96" s="2"/>
      <c r="N96" s="1"/>
      <c r="O96" s="1"/>
      <c r="P96" s="1"/>
      <c r="Q96" s="1"/>
      <c r="R96" s="1"/>
      <c r="S96" s="1"/>
      <c r="T96" s="1"/>
    </row>
    <row r="97" spans="1:20" ht="14.25">
      <c r="A97" s="1"/>
      <c r="B97" s="1"/>
      <c r="C97" s="1"/>
      <c r="D97" s="1"/>
      <c r="E97" s="1"/>
      <c r="F97" s="1"/>
      <c r="G97" s="1"/>
      <c r="H97" s="1"/>
      <c r="I97" s="1"/>
      <c r="K97" s="54"/>
      <c r="L97" s="2"/>
      <c r="M97" s="2"/>
      <c r="N97" s="1"/>
      <c r="O97" s="1"/>
      <c r="P97" s="1"/>
      <c r="Q97" s="1"/>
      <c r="R97" s="1"/>
      <c r="S97" s="1"/>
      <c r="T97" s="1"/>
    </row>
    <row r="98" spans="1:20" ht="14.25">
      <c r="A98" s="1" t="s">
        <v>6</v>
      </c>
      <c r="B98" s="1">
        <f aca="true" t="shared" si="29" ref="B98:I98">ftk</f>
        <v>2.01</v>
      </c>
      <c r="C98" s="1">
        <f t="shared" si="29"/>
        <v>2.01</v>
      </c>
      <c r="D98" s="1">
        <f t="shared" si="29"/>
        <v>2.01</v>
      </c>
      <c r="E98" s="1">
        <f t="shared" si="29"/>
        <v>2.01</v>
      </c>
      <c r="F98" s="1">
        <f t="shared" si="29"/>
        <v>2.01</v>
      </c>
      <c r="G98" s="1">
        <f t="shared" si="29"/>
        <v>2.01</v>
      </c>
      <c r="H98" s="1">
        <f t="shared" si="29"/>
        <v>2.01</v>
      </c>
      <c r="I98" s="1">
        <f t="shared" si="29"/>
        <v>2.01</v>
      </c>
      <c r="K98" s="54"/>
      <c r="L98" s="1"/>
      <c r="M98" s="1"/>
      <c r="N98" s="1"/>
      <c r="O98" s="1"/>
      <c r="P98" s="1"/>
      <c r="Q98" s="1"/>
      <c r="R98" s="1"/>
      <c r="S98" s="1"/>
      <c r="T98" s="1"/>
    </row>
    <row r="99" spans="1:20" ht="14.25">
      <c r="A99" s="1" t="s">
        <v>28</v>
      </c>
      <c r="B99" s="1">
        <f aca="true" t="shared" si="30" ref="B99:I99">Es</f>
        <v>200000</v>
      </c>
      <c r="C99" s="1">
        <f t="shared" si="30"/>
        <v>200000</v>
      </c>
      <c r="D99" s="1">
        <f t="shared" si="30"/>
        <v>200000</v>
      </c>
      <c r="E99" s="1">
        <f t="shared" si="30"/>
        <v>200000</v>
      </c>
      <c r="F99" s="1">
        <f t="shared" si="30"/>
        <v>200000</v>
      </c>
      <c r="G99" s="1">
        <f t="shared" si="30"/>
        <v>200000</v>
      </c>
      <c r="H99" s="1">
        <f t="shared" si="30"/>
        <v>200000</v>
      </c>
      <c r="I99" s="1">
        <f t="shared" si="30"/>
        <v>200000</v>
      </c>
      <c r="K99" s="54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 t="s">
        <v>145</v>
      </c>
      <c r="B100" s="1">
        <f aca="true" t="shared" si="31" ref="B100:I100">Ec</f>
        <v>30000</v>
      </c>
      <c r="C100" s="1">
        <f t="shared" si="31"/>
        <v>30000</v>
      </c>
      <c r="D100" s="1">
        <f t="shared" si="31"/>
        <v>30000</v>
      </c>
      <c r="E100" s="1">
        <f t="shared" si="31"/>
        <v>30000</v>
      </c>
      <c r="F100" s="1">
        <f t="shared" si="31"/>
        <v>30000</v>
      </c>
      <c r="G100" s="1">
        <f t="shared" si="31"/>
        <v>30000</v>
      </c>
      <c r="H100" s="1">
        <f t="shared" si="31"/>
        <v>30000</v>
      </c>
      <c r="I100" s="1">
        <f t="shared" si="31"/>
        <v>30000</v>
      </c>
      <c r="K100" s="5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K101" s="5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" t="s">
        <v>67</v>
      </c>
      <c r="B102" s="1">
        <f aca="true" t="shared" si="32" ref="B102:I102">$F$5</f>
        <v>0.3</v>
      </c>
      <c r="C102" s="1">
        <f t="shared" si="32"/>
        <v>0.3</v>
      </c>
      <c r="D102" s="1">
        <f t="shared" si="32"/>
        <v>0.3</v>
      </c>
      <c r="E102" s="1">
        <f t="shared" si="32"/>
        <v>0.3</v>
      </c>
      <c r="F102" s="1">
        <f t="shared" si="32"/>
        <v>0.3</v>
      </c>
      <c r="G102" s="1">
        <f t="shared" si="32"/>
        <v>0.3</v>
      </c>
      <c r="H102" s="1">
        <f t="shared" si="32"/>
        <v>0.3</v>
      </c>
      <c r="I102" s="1">
        <f t="shared" si="32"/>
        <v>0.3</v>
      </c>
      <c r="K102" s="5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11" ht="15">
      <c r="A103" s="1" t="s">
        <v>106</v>
      </c>
      <c r="B103" s="1">
        <f aca="true" t="shared" si="33" ref="B103:I103">1.9*$K$2+0.08*$N$1/0.01</f>
        <v>172</v>
      </c>
      <c r="C103" s="1">
        <f t="shared" si="33"/>
        <v>172</v>
      </c>
      <c r="D103" s="1">
        <f t="shared" si="33"/>
        <v>172</v>
      </c>
      <c r="E103" s="1">
        <f t="shared" si="33"/>
        <v>172</v>
      </c>
      <c r="F103" s="1">
        <f t="shared" si="33"/>
        <v>172</v>
      </c>
      <c r="G103" s="1">
        <f t="shared" si="33"/>
        <v>172</v>
      </c>
      <c r="H103" s="1">
        <f t="shared" si="33"/>
        <v>172</v>
      </c>
      <c r="I103" s="1">
        <f t="shared" si="33"/>
        <v>172</v>
      </c>
      <c r="K103" s="55"/>
    </row>
    <row r="104" spans="1:11" ht="14.25">
      <c r="A104" s="1" t="s">
        <v>107</v>
      </c>
      <c r="B104" s="6">
        <f>B102*B99/(2.1*B103)</f>
        <v>166.11295681063123</v>
      </c>
      <c r="C104" s="6">
        <f aca="true" t="shared" si="34" ref="C104:I104">$F$5*C99/(2.1*C103)</f>
        <v>166.11295681063123</v>
      </c>
      <c r="D104" s="6">
        <f t="shared" si="34"/>
        <v>166.11295681063123</v>
      </c>
      <c r="E104" s="6">
        <f t="shared" si="34"/>
        <v>166.11295681063123</v>
      </c>
      <c r="F104" s="6">
        <f t="shared" si="34"/>
        <v>166.11295681063123</v>
      </c>
      <c r="G104" s="6">
        <f t="shared" si="34"/>
        <v>166.11295681063123</v>
      </c>
      <c r="H104" s="6">
        <f t="shared" si="34"/>
        <v>166.11295681063123</v>
      </c>
      <c r="I104" s="6">
        <f t="shared" si="34"/>
        <v>166.11295681063123</v>
      </c>
      <c r="K104" s="54"/>
    </row>
    <row r="105" spans="1:9" ht="14.25">
      <c r="A105" s="1" t="s">
        <v>108</v>
      </c>
      <c r="B105" s="1">
        <f aca="true" t="shared" si="35" ref="B105:I105">0.65*B98/0.01</f>
        <v>130.65</v>
      </c>
      <c r="C105" s="1">
        <f t="shared" si="35"/>
        <v>130.65</v>
      </c>
      <c r="D105" s="1">
        <f t="shared" si="35"/>
        <v>130.65</v>
      </c>
      <c r="E105" s="1">
        <f t="shared" si="35"/>
        <v>130.65</v>
      </c>
      <c r="F105" s="1">
        <f t="shared" si="35"/>
        <v>130.65</v>
      </c>
      <c r="G105" s="1">
        <f t="shared" si="35"/>
        <v>130.65</v>
      </c>
      <c r="H105" s="1">
        <f t="shared" si="35"/>
        <v>130.65</v>
      </c>
      <c r="I105" s="1">
        <f t="shared" si="35"/>
        <v>130.65</v>
      </c>
    </row>
    <row r="106" spans="1:9" ht="14.25">
      <c r="A106" s="2" t="s">
        <v>110</v>
      </c>
      <c r="B106" s="275">
        <f aca="true" t="shared" si="36" ref="B106:I106">1.1*B90*1000000/((B104+B105)*0.87*B92)</f>
        <v>1492.1938909582673</v>
      </c>
      <c r="C106" s="275">
        <f t="shared" si="36"/>
        <v>812.6221450029484</v>
      </c>
      <c r="D106" s="275">
        <f t="shared" si="36"/>
        <v>497.3979636527558</v>
      </c>
      <c r="E106" s="275">
        <f t="shared" si="36"/>
        <v>664.8726640933213</v>
      </c>
      <c r="F106" s="275">
        <f t="shared" si="36"/>
        <v>941.8190015479755</v>
      </c>
      <c r="G106" s="275">
        <f t="shared" si="36"/>
        <v>409.51068090906074</v>
      </c>
      <c r="H106" s="275">
        <f t="shared" si="36"/>
        <v>313.9396671826585</v>
      </c>
      <c r="I106" s="275">
        <f t="shared" si="36"/>
        <v>335.05419347104976</v>
      </c>
    </row>
    <row r="108" spans="1:9" ht="14.25">
      <c r="A108" s="1"/>
      <c r="B108" s="118" t="s">
        <v>176</v>
      </c>
      <c r="C108" s="15" t="s">
        <v>192</v>
      </c>
      <c r="D108" s="15"/>
      <c r="E108" s="15"/>
      <c r="F108" s="15"/>
      <c r="G108" s="15"/>
      <c r="H108" s="15"/>
      <c r="I108" s="15"/>
    </row>
    <row r="109" spans="1:9" ht="14.25">
      <c r="A109" s="1"/>
      <c r="B109" s="1" t="s">
        <v>58</v>
      </c>
      <c r="C109" s="15"/>
      <c r="D109" s="15"/>
      <c r="E109" s="15"/>
      <c r="F109" s="1" t="s">
        <v>59</v>
      </c>
      <c r="G109" s="15"/>
      <c r="H109" s="15"/>
      <c r="I109" s="15"/>
    </row>
    <row r="110" spans="1:9" ht="14.25">
      <c r="A110" s="1"/>
      <c r="B110" s="1" t="s">
        <v>91</v>
      </c>
      <c r="C110" s="1"/>
      <c r="D110" s="1" t="s">
        <v>92</v>
      </c>
      <c r="E110" s="1"/>
      <c r="F110" s="1" t="s">
        <v>91</v>
      </c>
      <c r="G110" s="1"/>
      <c r="H110" s="1" t="s">
        <v>92</v>
      </c>
      <c r="I110" s="1"/>
    </row>
    <row r="111" spans="1:9" ht="14.25">
      <c r="A111" s="1"/>
      <c r="B111" s="2" t="s">
        <v>56</v>
      </c>
      <c r="C111" s="2" t="s">
        <v>53</v>
      </c>
      <c r="D111" s="2" t="s">
        <v>56</v>
      </c>
      <c r="E111" s="2" t="s">
        <v>53</v>
      </c>
      <c r="F111" s="2" t="s">
        <v>54</v>
      </c>
      <c r="G111" s="2" t="s">
        <v>57</v>
      </c>
      <c r="H111" s="2" t="s">
        <v>54</v>
      </c>
      <c r="I111" s="2" t="s">
        <v>57</v>
      </c>
    </row>
    <row r="112" spans="1:9" ht="14.25">
      <c r="A112" s="1"/>
      <c r="B112" s="2" t="s">
        <v>93</v>
      </c>
      <c r="C112" s="2" t="s">
        <v>93</v>
      </c>
      <c r="D112" s="2" t="s">
        <v>93</v>
      </c>
      <c r="E112" s="2" t="s">
        <v>93</v>
      </c>
      <c r="F112" s="2" t="s">
        <v>93</v>
      </c>
      <c r="G112" s="2" t="s">
        <v>93</v>
      </c>
      <c r="H112" s="2" t="s">
        <v>93</v>
      </c>
      <c r="I112" s="2" t="s">
        <v>93</v>
      </c>
    </row>
    <row r="113" spans="1:37" s="1" customFormat="1" ht="12">
      <c r="A113" s="7" t="s">
        <v>51</v>
      </c>
      <c r="B113" s="1">
        <f aca="true" t="shared" si="37" ref="B113:I113">B53</f>
        <v>0.10490000000000001</v>
      </c>
      <c r="C113" s="1">
        <f t="shared" si="37"/>
        <v>0.0779</v>
      </c>
      <c r="D113" s="1">
        <f t="shared" si="37"/>
        <v>0.10490000000000001</v>
      </c>
      <c r="E113" s="1">
        <f t="shared" si="37"/>
        <v>0.0779</v>
      </c>
      <c r="F113" s="1">
        <f t="shared" si="37"/>
        <v>0.0791</v>
      </c>
      <c r="G113" s="1">
        <f t="shared" si="37"/>
        <v>0.046900000000000004</v>
      </c>
      <c r="H113" s="1">
        <f t="shared" si="37"/>
        <v>0.0791</v>
      </c>
      <c r="I113" s="1">
        <f t="shared" si="37"/>
        <v>0.046900000000000004</v>
      </c>
      <c r="L113" s="7"/>
      <c r="M113" s="7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9" ht="14.25">
      <c r="A114" s="7"/>
      <c r="B114" s="1">
        <v>0.75</v>
      </c>
      <c r="C114" s="1">
        <v>0.55</v>
      </c>
      <c r="D114" s="1">
        <v>0.25</v>
      </c>
      <c r="E114" s="1">
        <v>0.45</v>
      </c>
      <c r="F114" s="1">
        <v>0.75</v>
      </c>
      <c r="G114" s="1">
        <v>0.55</v>
      </c>
      <c r="H114" s="1">
        <v>0.25</v>
      </c>
      <c r="I114" s="1">
        <v>0.45</v>
      </c>
    </row>
    <row r="115" spans="1:9" ht="14.25">
      <c r="A115" s="7" t="s">
        <v>121</v>
      </c>
      <c r="B115" s="1">
        <f>$L$1</f>
        <v>1</v>
      </c>
      <c r="C115" s="1">
        <f>1+(1-B115)</f>
        <v>1</v>
      </c>
      <c r="D115" s="1">
        <f>$L$1</f>
        <v>1</v>
      </c>
      <c r="E115" s="1">
        <f>1+(1-D115)</f>
        <v>1</v>
      </c>
      <c r="F115" s="1">
        <f>$L$1</f>
        <v>1</v>
      </c>
      <c r="G115" s="1">
        <f>1+(1-F115)</f>
        <v>1</v>
      </c>
      <c r="H115" s="1">
        <f>$L$1</f>
        <v>1</v>
      </c>
      <c r="I115" s="1">
        <f>1+(1-H115)</f>
        <v>1</v>
      </c>
    </row>
    <row r="116" spans="1:9" ht="14.25">
      <c r="A116" s="7"/>
      <c r="B116" s="61">
        <f aca="true" t="shared" si="38" ref="B116:I116">B113*B114*B115</f>
        <v>0.07867500000000001</v>
      </c>
      <c r="C116" s="61">
        <f t="shared" si="38"/>
        <v>0.042845</v>
      </c>
      <c r="D116" s="61">
        <f t="shared" si="38"/>
        <v>0.026225000000000002</v>
      </c>
      <c r="E116" s="61">
        <f t="shared" si="38"/>
        <v>0.035055</v>
      </c>
      <c r="F116" s="61">
        <f t="shared" si="38"/>
        <v>0.059325</v>
      </c>
      <c r="G116" s="61">
        <f t="shared" si="38"/>
        <v>0.025795000000000005</v>
      </c>
      <c r="H116" s="61">
        <f t="shared" si="38"/>
        <v>0.019775</v>
      </c>
      <c r="I116" s="61">
        <f t="shared" si="38"/>
        <v>0.021105000000000002</v>
      </c>
    </row>
    <row r="117" spans="1:9" ht="14.25">
      <c r="A117" s="7" t="s">
        <v>122</v>
      </c>
      <c r="B117" s="3">
        <f aca="true" t="shared" si="39" ref="B117:I117">$J$46*B113</f>
        <v>142.89652833333335</v>
      </c>
      <c r="C117" s="3">
        <f t="shared" si="39"/>
        <v>106.11667833333333</v>
      </c>
      <c r="D117" s="3">
        <f t="shared" si="39"/>
        <v>142.89652833333335</v>
      </c>
      <c r="E117" s="3">
        <f t="shared" si="39"/>
        <v>106.11667833333333</v>
      </c>
      <c r="F117" s="3">
        <f t="shared" si="39"/>
        <v>107.75133833333334</v>
      </c>
      <c r="G117" s="3">
        <f t="shared" si="39"/>
        <v>63.887961666666676</v>
      </c>
      <c r="H117" s="3">
        <f t="shared" si="39"/>
        <v>107.75133833333334</v>
      </c>
      <c r="I117" s="3">
        <f t="shared" si="39"/>
        <v>63.887961666666676</v>
      </c>
    </row>
    <row r="118" spans="1:9" ht="14.25">
      <c r="A118" s="7" t="s">
        <v>123</v>
      </c>
      <c r="B118" s="3">
        <f>B117*B115</f>
        <v>142.89652833333335</v>
      </c>
      <c r="C118" s="3">
        <f>C117*C115</f>
        <v>106.11667833333333</v>
      </c>
      <c r="D118" s="3">
        <f>D117*D115</f>
        <v>142.89652833333335</v>
      </c>
      <c r="E118" s="3">
        <f>E117*E115</f>
        <v>106.11667833333333</v>
      </c>
      <c r="F118" s="3">
        <f>F117*F115</f>
        <v>107.75133833333334</v>
      </c>
      <c r="G118" s="3">
        <f>G117+(F117-F118)</f>
        <v>63.887961666666676</v>
      </c>
      <c r="H118" s="3">
        <f>H117*H115</f>
        <v>107.75133833333334</v>
      </c>
      <c r="I118" s="3">
        <f>I117+(H117-H118)</f>
        <v>63.887961666666676</v>
      </c>
    </row>
    <row r="119" spans="1:9" ht="14.25">
      <c r="A119" s="7" t="s">
        <v>124</v>
      </c>
      <c r="B119" s="3">
        <f aca="true" t="shared" si="40" ref="B119:I119">B118*B114</f>
        <v>107.17239625000002</v>
      </c>
      <c r="C119" s="3">
        <f t="shared" si="40"/>
        <v>58.364173083333334</v>
      </c>
      <c r="D119" s="3">
        <f t="shared" si="40"/>
        <v>35.72413208333334</v>
      </c>
      <c r="E119" s="3">
        <f t="shared" si="40"/>
        <v>47.75250525</v>
      </c>
      <c r="F119" s="3">
        <f t="shared" si="40"/>
        <v>80.81350375</v>
      </c>
      <c r="G119" s="3">
        <f t="shared" si="40"/>
        <v>35.138378916666674</v>
      </c>
      <c r="H119" s="3">
        <f t="shared" si="40"/>
        <v>26.937834583333334</v>
      </c>
      <c r="I119" s="3">
        <f t="shared" si="40"/>
        <v>28.749582750000005</v>
      </c>
    </row>
    <row r="120" spans="1:9" ht="14.25">
      <c r="A120" s="7" t="s">
        <v>125</v>
      </c>
      <c r="B120" s="3">
        <f aca="true" t="shared" si="41" ref="B120:I120">B119/($F$2/2)</f>
        <v>71.44826416666668</v>
      </c>
      <c r="C120" s="3">
        <f t="shared" si="41"/>
        <v>38.90944872222222</v>
      </c>
      <c r="D120" s="3">
        <f t="shared" si="41"/>
        <v>23.816088055555557</v>
      </c>
      <c r="E120" s="3">
        <f t="shared" si="41"/>
        <v>31.8350035</v>
      </c>
      <c r="F120" s="3">
        <f t="shared" si="41"/>
        <v>53.87566916666666</v>
      </c>
      <c r="G120" s="3">
        <f t="shared" si="41"/>
        <v>23.42558594444445</v>
      </c>
      <c r="H120" s="3">
        <f t="shared" si="41"/>
        <v>17.95855638888889</v>
      </c>
      <c r="I120" s="3">
        <f t="shared" si="41"/>
        <v>19.166388500000004</v>
      </c>
    </row>
    <row r="121" spans="1:9" ht="14.25">
      <c r="A121" s="1" t="s">
        <v>77</v>
      </c>
      <c r="B121" s="3">
        <f aca="true" t="shared" si="42" ref="B121:I121">$F$3</f>
        <v>250</v>
      </c>
      <c r="C121" s="3">
        <f t="shared" si="42"/>
        <v>250</v>
      </c>
      <c r="D121" s="3">
        <f t="shared" si="42"/>
        <v>250</v>
      </c>
      <c r="E121" s="3">
        <f t="shared" si="42"/>
        <v>250</v>
      </c>
      <c r="F121" s="3">
        <f t="shared" si="42"/>
        <v>250</v>
      </c>
      <c r="G121" s="3">
        <f t="shared" si="42"/>
        <v>250</v>
      </c>
      <c r="H121" s="3">
        <f t="shared" si="42"/>
        <v>250</v>
      </c>
      <c r="I121" s="3">
        <f t="shared" si="42"/>
        <v>250</v>
      </c>
    </row>
    <row r="122" spans="1:9" ht="14.25">
      <c r="A122" s="1" t="s">
        <v>60</v>
      </c>
      <c r="B122" s="3">
        <f aca="true" t="shared" si="43" ref="B122:I122">B121-$K$2-$N$1/2</f>
        <v>204</v>
      </c>
      <c r="C122" s="3">
        <f t="shared" si="43"/>
        <v>204</v>
      </c>
      <c r="D122" s="3">
        <f t="shared" si="43"/>
        <v>204</v>
      </c>
      <c r="E122" s="3">
        <f t="shared" si="43"/>
        <v>204</v>
      </c>
      <c r="F122" s="3">
        <f t="shared" si="43"/>
        <v>204</v>
      </c>
      <c r="G122" s="3">
        <f t="shared" si="43"/>
        <v>204</v>
      </c>
      <c r="H122" s="3">
        <f t="shared" si="43"/>
        <v>204</v>
      </c>
      <c r="I122" s="3">
        <f t="shared" si="43"/>
        <v>204</v>
      </c>
    </row>
    <row r="123" spans="1:9" ht="14.25">
      <c r="A123" s="2" t="s">
        <v>103</v>
      </c>
      <c r="B123" s="61">
        <f aca="true" t="shared" si="44" ref="B123:I123">B122-(B122^2-2*B120*1000000/($Q$6*1000))^0.5</f>
        <v>26.17076792358975</v>
      </c>
      <c r="C123" s="61">
        <f t="shared" si="44"/>
        <v>13.805049857181928</v>
      </c>
      <c r="D123" s="61">
        <f t="shared" si="44"/>
        <v>8.334268218401121</v>
      </c>
      <c r="E123" s="61">
        <f t="shared" si="44"/>
        <v>11.221495082978834</v>
      </c>
      <c r="F123" s="61">
        <f t="shared" si="44"/>
        <v>19.389758205858527</v>
      </c>
      <c r="G123" s="61">
        <f t="shared" si="44"/>
        <v>8.194754223733128</v>
      </c>
      <c r="H123" s="61">
        <f t="shared" si="44"/>
        <v>6.251893076662327</v>
      </c>
      <c r="I123" s="61">
        <f t="shared" si="44"/>
        <v>6.679483520399685</v>
      </c>
    </row>
    <row r="124" spans="1:9" ht="14.25">
      <c r="A124" s="2" t="s">
        <v>110</v>
      </c>
      <c r="B124" s="6">
        <f aca="true" t="shared" si="45" ref="B124:I124">$Q$6*1000*B123/$T$6</f>
        <v>1247.4732710244448</v>
      </c>
      <c r="C124" s="6">
        <f t="shared" si="45"/>
        <v>658.0407098590052</v>
      </c>
      <c r="D124" s="6">
        <f t="shared" si="45"/>
        <v>397.2667850771201</v>
      </c>
      <c r="E124" s="6">
        <f t="shared" si="45"/>
        <v>534.8912656219911</v>
      </c>
      <c r="F124" s="6">
        <f t="shared" si="45"/>
        <v>924.2451411459232</v>
      </c>
      <c r="G124" s="6">
        <f t="shared" si="45"/>
        <v>390.61661799794575</v>
      </c>
      <c r="H124" s="6">
        <f t="shared" si="45"/>
        <v>298.00690332090426</v>
      </c>
      <c r="I124" s="6">
        <f t="shared" si="45"/>
        <v>318.388714472385</v>
      </c>
    </row>
    <row r="125" spans="1:9" ht="14.25">
      <c r="A125" s="1" t="s">
        <v>83</v>
      </c>
      <c r="B125" s="1">
        <f aca="true" t="shared" si="46" ref="B125:I125">MAX(0.002,45*ft/fy/100)</f>
        <v>0.0021449999999999998</v>
      </c>
      <c r="C125" s="1">
        <f t="shared" si="46"/>
        <v>0.0021449999999999998</v>
      </c>
      <c r="D125" s="1">
        <f t="shared" si="46"/>
        <v>0.0021449999999999998</v>
      </c>
      <c r="E125" s="1">
        <f t="shared" si="46"/>
        <v>0.0021449999999999998</v>
      </c>
      <c r="F125" s="1">
        <f t="shared" si="46"/>
        <v>0.0021449999999999998</v>
      </c>
      <c r="G125" s="1">
        <f t="shared" si="46"/>
        <v>0.0021449999999999998</v>
      </c>
      <c r="H125" s="1">
        <f t="shared" si="46"/>
        <v>0.0021449999999999998</v>
      </c>
      <c r="I125" s="1">
        <f t="shared" si="46"/>
        <v>0.0021449999999999998</v>
      </c>
    </row>
    <row r="126" spans="1:9" ht="14.25">
      <c r="A126" s="1" t="s">
        <v>76</v>
      </c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 t="s">
        <v>6</v>
      </c>
      <c r="B128" s="1">
        <f aca="true" t="shared" si="47" ref="B128:I128">ftk</f>
        <v>2.01</v>
      </c>
      <c r="C128" s="1">
        <f t="shared" si="47"/>
        <v>2.01</v>
      </c>
      <c r="D128" s="1">
        <f t="shared" si="47"/>
        <v>2.01</v>
      </c>
      <c r="E128" s="1">
        <f t="shared" si="47"/>
        <v>2.01</v>
      </c>
      <c r="F128" s="1">
        <f t="shared" si="47"/>
        <v>2.01</v>
      </c>
      <c r="G128" s="1">
        <f t="shared" si="47"/>
        <v>2.01</v>
      </c>
      <c r="H128" s="1">
        <f t="shared" si="47"/>
        <v>2.01</v>
      </c>
      <c r="I128" s="1">
        <f t="shared" si="47"/>
        <v>2.01</v>
      </c>
    </row>
    <row r="129" spans="1:9" ht="14.25">
      <c r="A129" s="1" t="s">
        <v>28</v>
      </c>
      <c r="B129" s="1">
        <f aca="true" t="shared" si="48" ref="B129:I129">Es</f>
        <v>200000</v>
      </c>
      <c r="C129" s="1">
        <f t="shared" si="48"/>
        <v>200000</v>
      </c>
      <c r="D129" s="1">
        <f t="shared" si="48"/>
        <v>200000</v>
      </c>
      <c r="E129" s="1">
        <f t="shared" si="48"/>
        <v>200000</v>
      </c>
      <c r="F129" s="1">
        <f t="shared" si="48"/>
        <v>200000</v>
      </c>
      <c r="G129" s="1">
        <f t="shared" si="48"/>
        <v>200000</v>
      </c>
      <c r="H129" s="1">
        <f t="shared" si="48"/>
        <v>200000</v>
      </c>
      <c r="I129" s="1">
        <f t="shared" si="48"/>
        <v>200000</v>
      </c>
    </row>
    <row r="130" spans="1:9" ht="14.25">
      <c r="A130" s="1" t="s">
        <v>145</v>
      </c>
      <c r="B130" s="1">
        <f aca="true" t="shared" si="49" ref="B130:I130">Ec</f>
        <v>30000</v>
      </c>
      <c r="C130" s="1">
        <f t="shared" si="49"/>
        <v>30000</v>
      </c>
      <c r="D130" s="1">
        <f t="shared" si="49"/>
        <v>30000</v>
      </c>
      <c r="E130" s="1">
        <f t="shared" si="49"/>
        <v>30000</v>
      </c>
      <c r="F130" s="1">
        <f t="shared" si="49"/>
        <v>30000</v>
      </c>
      <c r="G130" s="1">
        <f t="shared" si="49"/>
        <v>30000</v>
      </c>
      <c r="H130" s="1">
        <f t="shared" si="49"/>
        <v>30000</v>
      </c>
      <c r="I130" s="1">
        <f t="shared" si="49"/>
        <v>30000</v>
      </c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 t="s">
        <v>67</v>
      </c>
      <c r="B132" s="1">
        <f aca="true" t="shared" si="50" ref="B132:I132">$F$5</f>
        <v>0.3</v>
      </c>
      <c r="C132" s="1">
        <f t="shared" si="50"/>
        <v>0.3</v>
      </c>
      <c r="D132" s="1">
        <f t="shared" si="50"/>
        <v>0.3</v>
      </c>
      <c r="E132" s="1">
        <f t="shared" si="50"/>
        <v>0.3</v>
      </c>
      <c r="F132" s="1">
        <f t="shared" si="50"/>
        <v>0.3</v>
      </c>
      <c r="G132" s="1">
        <f t="shared" si="50"/>
        <v>0.3</v>
      </c>
      <c r="H132" s="1">
        <f t="shared" si="50"/>
        <v>0.3</v>
      </c>
      <c r="I132" s="1">
        <f t="shared" si="50"/>
        <v>0.3</v>
      </c>
    </row>
    <row r="133" spans="1:9" ht="14.25">
      <c r="A133" s="1" t="s">
        <v>106</v>
      </c>
      <c r="B133" s="1">
        <f aca="true" t="shared" si="51" ref="B133:I133">1.9*$K$2+0.08*$N$1/0.01</f>
        <v>172</v>
      </c>
      <c r="C133" s="1">
        <f t="shared" si="51"/>
        <v>172</v>
      </c>
      <c r="D133" s="1">
        <f t="shared" si="51"/>
        <v>172</v>
      </c>
      <c r="E133" s="1">
        <f t="shared" si="51"/>
        <v>172</v>
      </c>
      <c r="F133" s="1">
        <f t="shared" si="51"/>
        <v>172</v>
      </c>
      <c r="G133" s="1">
        <f t="shared" si="51"/>
        <v>172</v>
      </c>
      <c r="H133" s="1">
        <f t="shared" si="51"/>
        <v>172</v>
      </c>
      <c r="I133" s="1">
        <f t="shared" si="51"/>
        <v>172</v>
      </c>
    </row>
    <row r="134" spans="1:9" ht="14.25">
      <c r="A134" s="1" t="s">
        <v>107</v>
      </c>
      <c r="B134" s="6">
        <f>B132*B129/(2.1*B133)</f>
        <v>166.11295681063123</v>
      </c>
      <c r="C134" s="6">
        <f aca="true" t="shared" si="52" ref="C134:I134">$F$5*C129/(2.1*C133)</f>
        <v>166.11295681063123</v>
      </c>
      <c r="D134" s="6">
        <f t="shared" si="52"/>
        <v>166.11295681063123</v>
      </c>
      <c r="E134" s="6">
        <f t="shared" si="52"/>
        <v>166.11295681063123</v>
      </c>
      <c r="F134" s="6">
        <f t="shared" si="52"/>
        <v>166.11295681063123</v>
      </c>
      <c r="G134" s="6">
        <f t="shared" si="52"/>
        <v>166.11295681063123</v>
      </c>
      <c r="H134" s="6">
        <f t="shared" si="52"/>
        <v>166.11295681063123</v>
      </c>
      <c r="I134" s="6">
        <f t="shared" si="52"/>
        <v>166.11295681063123</v>
      </c>
    </row>
    <row r="135" spans="1:9" ht="14.25">
      <c r="A135" s="1" t="s">
        <v>108</v>
      </c>
      <c r="B135" s="1">
        <f aca="true" t="shared" si="53" ref="B135:I135">0.65*B128/0.01</f>
        <v>130.65</v>
      </c>
      <c r="C135" s="1">
        <f t="shared" si="53"/>
        <v>130.65</v>
      </c>
      <c r="D135" s="1">
        <f t="shared" si="53"/>
        <v>130.65</v>
      </c>
      <c r="E135" s="1">
        <f t="shared" si="53"/>
        <v>130.65</v>
      </c>
      <c r="F135" s="1">
        <f t="shared" si="53"/>
        <v>130.65</v>
      </c>
      <c r="G135" s="1">
        <f t="shared" si="53"/>
        <v>130.65</v>
      </c>
      <c r="H135" s="1">
        <f t="shared" si="53"/>
        <v>130.65</v>
      </c>
      <c r="I135" s="1">
        <f t="shared" si="53"/>
        <v>130.65</v>
      </c>
    </row>
    <row r="136" spans="1:9" ht="14.25">
      <c r="A136" s="2" t="s">
        <v>110</v>
      </c>
      <c r="B136" s="6">
        <f aca="true" t="shared" si="54" ref="B136:I136">1.1*B120*1000000/((B134+B135)*0.87*B122)</f>
        <v>1492.1938909582673</v>
      </c>
      <c r="C136" s="6">
        <f t="shared" si="54"/>
        <v>812.6221450029484</v>
      </c>
      <c r="D136" s="6">
        <f t="shared" si="54"/>
        <v>497.3979636527558</v>
      </c>
      <c r="E136" s="6">
        <f t="shared" si="54"/>
        <v>664.8726640933213</v>
      </c>
      <c r="F136" s="6">
        <f t="shared" si="54"/>
        <v>1125.1910083393607</v>
      </c>
      <c r="G136" s="6">
        <f t="shared" si="54"/>
        <v>489.2423440390024</v>
      </c>
      <c r="H136" s="6">
        <f t="shared" si="54"/>
        <v>375.0636694464537</v>
      </c>
      <c r="I136" s="6">
        <f t="shared" si="54"/>
        <v>400.28919057736556</v>
      </c>
    </row>
    <row r="137" spans="1:10" ht="14.25">
      <c r="A137" t="s">
        <v>178</v>
      </c>
      <c r="G137" s="6">
        <f>G19/(0.5*1000*G121)</f>
        <v>0.004289999999999999</v>
      </c>
      <c r="I137" s="6">
        <f>I19/(0.5*1000*I121)</f>
        <v>0.004289999999999999</v>
      </c>
      <c r="J137" s="54" t="s">
        <v>177</v>
      </c>
    </row>
    <row r="138" spans="1:10" ht="14.25">
      <c r="A138" t="s">
        <v>180</v>
      </c>
      <c r="G138" s="6">
        <f>G120*1000000/0.87/G122/G19</f>
        <v>246.1352059571579</v>
      </c>
      <c r="I138" s="6">
        <f>I120*1000000/0.87/I122/I19</f>
        <v>201.3833503285837</v>
      </c>
      <c r="J138" s="54" t="s">
        <v>179</v>
      </c>
    </row>
    <row r="139" spans="1:10" ht="14.25">
      <c r="A139" t="s">
        <v>182</v>
      </c>
      <c r="G139" s="6">
        <f>IF(1.1-0.65*S6/G137/G138&lt;0.2,0.2,1.1-0.65*S6/G137/G138)</f>
        <v>0.2</v>
      </c>
      <c r="I139" s="6">
        <f>IF(1.1-0.65*U6/I137/I138&lt;0.2,0.2,1.1-0.65*U6/I137/I138)</f>
        <v>0.2</v>
      </c>
      <c r="J139" s="54" t="s">
        <v>181</v>
      </c>
    </row>
    <row r="140" spans="1:10" ht="14.25">
      <c r="A140" t="s">
        <v>186</v>
      </c>
      <c r="G140" s="6">
        <f>G19/(1000*G122)</f>
        <v>0.0026286764705882345</v>
      </c>
      <c r="I140" s="6">
        <f>I19/(1000*I122)</f>
        <v>0.0026286764705882345</v>
      </c>
      <c r="J140" s="54" t="s">
        <v>185</v>
      </c>
    </row>
    <row r="141" spans="1:10" ht="14.25">
      <c r="A141" t="s">
        <v>184</v>
      </c>
      <c r="G141" s="6">
        <f>G129/G130</f>
        <v>6.666666666666667</v>
      </c>
      <c r="I141" s="6">
        <f>I129/I130</f>
        <v>6.666666666666667</v>
      </c>
      <c r="J141" s="54" t="s">
        <v>183</v>
      </c>
    </row>
    <row r="142" spans="1:10" ht="16.5">
      <c r="A142" t="s">
        <v>188</v>
      </c>
      <c r="G142" s="6">
        <f>G129*F19*G122^2/(1.15*G139+0.2+(6*G141*G140))</f>
        <v>15542257480697.434</v>
      </c>
      <c r="I142" s="6">
        <f>I129*H19*I122^2/(1.15*I139+0.2+(6*I141*I140))</f>
        <v>8340354163231.655</v>
      </c>
      <c r="J142" s="55" t="s">
        <v>187</v>
      </c>
    </row>
    <row r="143" spans="1:10" ht="14.25">
      <c r="A143" t="s">
        <v>191</v>
      </c>
      <c r="G143" s="6">
        <f>G90/(G120+G90)*G142</f>
        <v>7081723529277.858</v>
      </c>
      <c r="I143" s="6">
        <f>I90/(I120+I90)*I142</f>
        <v>3800225443029.899</v>
      </c>
      <c r="J143" s="55" t="s">
        <v>190</v>
      </c>
    </row>
    <row r="144" spans="1:10" ht="16.5">
      <c r="A144" t="s">
        <v>189</v>
      </c>
      <c r="G144" s="6">
        <f>(A46+D46)*F1^4*0.00542*1000000000000/G143</f>
        <v>4.7302895321325735</v>
      </c>
      <c r="I144" s="6">
        <f>(C46+F46)*F1^4*0.00542*1000000000000/I143</f>
        <v>0.8957843100186877</v>
      </c>
      <c r="J144" s="55" t="s">
        <v>142</v>
      </c>
    </row>
    <row r="145" spans="7:10" ht="14.25">
      <c r="G145" s="6">
        <f>F1*1000/G144</f>
        <v>718.7720702726554</v>
      </c>
      <c r="I145" s="6">
        <f>F1*1000/I144</f>
        <v>3795.556544107219</v>
      </c>
      <c r="J145" s="55" t="s">
        <v>143</v>
      </c>
    </row>
    <row r="146" spans="7:10" ht="14.25">
      <c r="G146" s="6" t="str">
        <f>IF(G145&gt;300,"OK","NG")</f>
        <v>OK</v>
      </c>
      <c r="I146" s="6" t="str">
        <f>IF(I145&gt;300,"OK","NG")</f>
        <v>OK</v>
      </c>
      <c r="J146" s="54" t="s">
        <v>144</v>
      </c>
    </row>
    <row r="152" spans="9:12" ht="14.25">
      <c r="I152" s="339"/>
      <c r="J152" s="339"/>
      <c r="K152" s="339"/>
      <c r="L152" s="339"/>
    </row>
    <row r="153" spans="9:12" ht="14.25">
      <c r="I153" s="1"/>
      <c r="J153" s="1"/>
      <c r="K153" s="1"/>
      <c r="L153" s="1"/>
    </row>
    <row r="154" spans="9:12" ht="14.25">
      <c r="I154" s="2"/>
      <c r="J154" s="2"/>
      <c r="K154" s="2"/>
      <c r="L154" s="2"/>
    </row>
    <row r="155" spans="4:12" ht="14.25">
      <c r="D155" s="7"/>
      <c r="I155" s="176"/>
      <c r="J155" s="176"/>
      <c r="K155" s="176"/>
      <c r="L155" s="176"/>
    </row>
    <row r="156" spans="9:12" ht="14.25">
      <c r="I156" s="177"/>
      <c r="J156" s="177"/>
      <c r="K156" s="177"/>
      <c r="L156" s="177"/>
    </row>
    <row r="157" spans="4:12" ht="14.25">
      <c r="D157" s="7"/>
      <c r="I157" s="14"/>
      <c r="J157" s="14"/>
      <c r="K157" s="14"/>
      <c r="L157" s="14"/>
    </row>
    <row r="176" ht="14.25">
      <c r="J176" s="1"/>
    </row>
    <row r="177" ht="14.25">
      <c r="J177" s="2"/>
    </row>
    <row r="178" ht="14.25">
      <c r="J178" s="176"/>
    </row>
    <row r="179" ht="14.25">
      <c r="J179" s="177"/>
    </row>
    <row r="180" ht="14.25">
      <c r="J180" s="14"/>
    </row>
    <row r="181" ht="14.25">
      <c r="J181" s="14"/>
    </row>
    <row r="182" ht="14.25">
      <c r="J182" s="14"/>
    </row>
  </sheetData>
  <sheetProtection sheet="1" objects="1" scenarios="1"/>
  <mergeCells count="12">
    <mergeCell ref="B8:C8"/>
    <mergeCell ref="D8:E8"/>
    <mergeCell ref="F8:G8"/>
    <mergeCell ref="H8:I8"/>
    <mergeCell ref="L40:N40"/>
    <mergeCell ref="I152:L152"/>
    <mergeCell ref="I40:K40"/>
    <mergeCell ref="B7:E7"/>
    <mergeCell ref="F7:I7"/>
    <mergeCell ref="B11:I11"/>
    <mergeCell ref="E41:F41"/>
    <mergeCell ref="G41:H41"/>
  </mergeCells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575893" r:id="rId1"/>
    <oleObject progId="Equation.3" shapeId="575894" r:id="rId2"/>
    <oleObject progId="Equation.3" shapeId="57589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M230"/>
  <sheetViews>
    <sheetView zoomScalePageLayoutView="0" workbookViewId="0" topLeftCell="A25">
      <selection activeCell="B3" sqref="B3"/>
    </sheetView>
  </sheetViews>
  <sheetFormatPr defaultColWidth="9.00390625" defaultRowHeight="14.25"/>
  <cols>
    <col min="1" max="1" width="15.50390625" style="0" customWidth="1"/>
    <col min="2" max="9" width="12.625" style="0" customWidth="1"/>
  </cols>
  <sheetData>
    <row r="1" spans="1:9" ht="14.25">
      <c r="A1" s="346" t="s">
        <v>269</v>
      </c>
      <c r="B1" s="347"/>
      <c r="C1" s="347"/>
      <c r="D1" s="347"/>
      <c r="E1" s="347"/>
      <c r="F1" s="347"/>
      <c r="G1" s="347"/>
      <c r="H1" s="347"/>
      <c r="I1" s="348"/>
    </row>
    <row r="2" spans="1:9" ht="14.25">
      <c r="A2" s="343" t="s">
        <v>274</v>
      </c>
      <c r="B2" s="344"/>
      <c r="C2" s="344"/>
      <c r="D2" s="344"/>
      <c r="E2" s="344"/>
      <c r="F2" s="344"/>
      <c r="G2" s="344"/>
      <c r="H2" s="344"/>
      <c r="I2" s="345"/>
    </row>
    <row r="3" spans="1:9" ht="14.25">
      <c r="A3" s="157" t="s">
        <v>104</v>
      </c>
      <c r="B3" s="168">
        <f>IF(B34&gt;1,B30,IF(B42&gt;1,B38,IF(B50&gt;1,B46,IF(B59&gt;1,B55,"D&gt;=20"))))</f>
        <v>14</v>
      </c>
      <c r="C3" s="168">
        <f aca="true" t="shared" si="0" ref="C3:I3">IF(C34&gt;1,C30,IF(C42&gt;1,C38,IF(C50&gt;1,C46,IF(C59&gt;1,C55,"D&gt;=20"))))</f>
        <v>12</v>
      </c>
      <c r="D3" s="168">
        <f t="shared" si="0"/>
        <v>12</v>
      </c>
      <c r="E3" s="168">
        <f t="shared" si="0"/>
        <v>12</v>
      </c>
      <c r="F3" s="168">
        <f t="shared" si="0"/>
        <v>12</v>
      </c>
      <c r="G3" s="168">
        <f t="shared" si="0"/>
        <v>12</v>
      </c>
      <c r="H3" s="168">
        <f t="shared" si="0"/>
        <v>12</v>
      </c>
      <c r="I3" s="168">
        <f t="shared" si="0"/>
        <v>12</v>
      </c>
    </row>
    <row r="4" spans="1:9" ht="14.25">
      <c r="A4" s="157" t="s">
        <v>105</v>
      </c>
      <c r="B4" s="156">
        <f>IF(INT(1000/('X向计算'!B$19/(B3^2*PI()/4))/10)*10&gt;200,200,IF(INT(1000/('X向计算'!B$19/(B3^2*PI()/4))/10)*10&lt;100,100,INT(1000/('X向计算'!B$19/(B3^2*PI()/4))/10)*10))</f>
        <v>120</v>
      </c>
      <c r="C4" s="156">
        <f>IF(INT(1000/('X向计算'!C$19/(C3^2*PI()/4))/10)*10&gt;200,200,IF(INT(1000/('X向计算'!C$19/(C3^2*PI()/4))/10)*10&lt;100,100,INT(1000/('X向计算'!C$19/(C3^2*PI()/4))/10)*10))</f>
        <v>170</v>
      </c>
      <c r="D4" s="156">
        <f>IF(INT(1000/('X向计算'!D$19/(D3^2*PI()/4))/10)*10&gt;200,200,IF(INT(1000/('X向计算'!D$19/(D3^2*PI()/4))/10)*10&lt;100,100,INT(1000/('X向计算'!D$19/(D3^2*PI()/4))/10)*10))</f>
        <v>200</v>
      </c>
      <c r="E4" s="156">
        <f>IF(INT(1000/('X向计算'!E$19/(E3^2*PI()/4))/10)*10&gt;200,200,IF(INT(1000/('X向计算'!E$19/(E3^2*PI()/4))/10)*10&lt;100,100,INT(1000/('X向计算'!E$19/(E3^2*PI()/4))/10)*10))</f>
        <v>200</v>
      </c>
      <c r="F4" s="156">
        <f>IF(INT(1000/('X向计算'!F$19/(F3^2*PI()/4))/10)*10&gt;200,200,IF(INT(1000/('X向计算'!F$19/(F3^2*PI()/4))/10)*10&lt;100,100,INT(1000/('X向计算'!F$19/(F3^2*PI()/4))/10)*10))</f>
        <v>150</v>
      </c>
      <c r="G4" s="156">
        <f>IF(INT(1000/('X向计算'!G$19/(G3^2*PI()/4))/10)*10&gt;200,200,IF(INT(1000/('X向计算'!G$19/(G3^2*PI()/4))/10)*10&lt;100,100,INT(1000/('X向计算'!G$19/(G3^2*PI()/4))/10)*10))</f>
        <v>200</v>
      </c>
      <c r="H4" s="156">
        <f>IF(INT(1000/('X向计算'!H$19/(H3^2*PI()/4))/10)*10&gt;200,200,IF(INT(1000/('X向计算'!H$19/(H3^2*PI()/4))/10)*10&lt;100,100,INT(1000/('X向计算'!H$19/(H3^2*PI()/4))/10)*10))</f>
        <v>200</v>
      </c>
      <c r="I4" s="156">
        <f>IF(INT(1000/('X向计算'!I$19/(I3^2*PI()/4))/10)*10&gt;200,200,IF(INT(1000/('X向计算'!I$19/(I3^2*PI()/4))/10)*10&lt;100,100,INT(1000/('X向计算'!I$19/(I3^2*PI()/4))/10)*10))</f>
        <v>200</v>
      </c>
    </row>
    <row r="5" spans="1:9" ht="14.25">
      <c r="A5" s="157"/>
      <c r="B5" s="156" t="str">
        <f>"φ"&amp;B3&amp;"@"&amp;B4</f>
        <v>φ14@120</v>
      </c>
      <c r="C5" s="156" t="str">
        <f aca="true" t="shared" si="1" ref="C5:I5">"φ"&amp;C3&amp;"@"&amp;C4</f>
        <v>φ12@170</v>
      </c>
      <c r="D5" s="156" t="str">
        <f t="shared" si="1"/>
        <v>φ12@200</v>
      </c>
      <c r="E5" s="156" t="str">
        <f t="shared" si="1"/>
        <v>φ12@200</v>
      </c>
      <c r="F5" s="156" t="str">
        <f t="shared" si="1"/>
        <v>φ12@150</v>
      </c>
      <c r="G5" s="156" t="str">
        <f t="shared" si="1"/>
        <v>φ12@200</v>
      </c>
      <c r="H5" s="156" t="str">
        <f t="shared" si="1"/>
        <v>φ12@200</v>
      </c>
      <c r="I5" s="156" t="str">
        <f t="shared" si="1"/>
        <v>φ12@200</v>
      </c>
    </row>
    <row r="6" spans="1:9" ht="14.25">
      <c r="A6" s="157" t="s">
        <v>267</v>
      </c>
      <c r="B6" s="156">
        <f>3.14159*B3^2/4*1000/B4</f>
        <v>1282.8159166666665</v>
      </c>
      <c r="C6" s="156">
        <f aca="true" t="shared" si="2" ref="C6:I6">3.14159*C3^2/4*1000/C4</f>
        <v>665.2778823529412</v>
      </c>
      <c r="D6" s="156">
        <f t="shared" si="2"/>
        <v>565.4862</v>
      </c>
      <c r="E6" s="156">
        <f t="shared" si="2"/>
        <v>565.4862</v>
      </c>
      <c r="F6" s="156">
        <f t="shared" si="2"/>
        <v>753.9816000000001</v>
      </c>
      <c r="G6" s="156">
        <f t="shared" si="2"/>
        <v>565.4862</v>
      </c>
      <c r="H6" s="156">
        <f t="shared" si="2"/>
        <v>565.4862</v>
      </c>
      <c r="I6" s="156">
        <f t="shared" si="2"/>
        <v>565.4862</v>
      </c>
    </row>
    <row r="7" spans="1:13" ht="15" thickBot="1">
      <c r="A7" s="161" t="s">
        <v>268</v>
      </c>
      <c r="B7" s="162">
        <f>B6/'X向计算'!B$19</f>
        <v>1.0520241998061362</v>
      </c>
      <c r="C7" s="162">
        <f>C6/'X向计算'!C$19</f>
        <v>1.0334843201936128</v>
      </c>
      <c r="D7" s="162">
        <f>D6/'X向计算'!D$19</f>
        <v>1.0545197202797205</v>
      </c>
      <c r="E7" s="162">
        <f>E6/'X向计算'!E$19</f>
        <v>1.0545197202797205</v>
      </c>
      <c r="F7" s="162">
        <f>F6/'X向计算'!F$19</f>
        <v>1.0339734979364248</v>
      </c>
      <c r="G7" s="162">
        <f>G6/'X向计算'!G$19</f>
        <v>1.0545197202797205</v>
      </c>
      <c r="H7" s="162">
        <f>H6/'X向计算'!H$19</f>
        <v>1.0545197202797205</v>
      </c>
      <c r="I7" s="162">
        <f>I6/'X向计算'!I$19</f>
        <v>1.0545197202797205</v>
      </c>
      <c r="J7" s="1"/>
      <c r="K7" s="1"/>
      <c r="M7" s="1"/>
    </row>
    <row r="8" spans="1:13" ht="15" thickTop="1">
      <c r="A8" s="165"/>
      <c r="B8" s="166"/>
      <c r="C8" s="166"/>
      <c r="D8" s="166"/>
      <c r="E8" s="166"/>
      <c r="F8" s="166"/>
      <c r="G8" s="166"/>
      <c r="H8" s="166"/>
      <c r="I8" s="167"/>
      <c r="J8" s="1"/>
      <c r="K8" s="1"/>
      <c r="M8" s="1"/>
    </row>
    <row r="9" spans="1:13" ht="14.25">
      <c r="A9" s="165"/>
      <c r="B9" s="166"/>
      <c r="C9" s="166"/>
      <c r="D9" s="166"/>
      <c r="E9" s="166"/>
      <c r="F9" s="166"/>
      <c r="G9" s="166"/>
      <c r="H9" s="166"/>
      <c r="I9" s="167"/>
      <c r="J9" s="1"/>
      <c r="K9" s="1"/>
      <c r="M9" s="1"/>
    </row>
    <row r="10" spans="1:9" ht="15" thickBot="1">
      <c r="A10" s="157" t="s">
        <v>271</v>
      </c>
      <c r="B10" s="164">
        <f aca="true" t="shared" si="3" ref="B10:I10">IF(B34&gt;1,MIN(B34,B42,B50,B59),IF(B42&gt;1,MIN(B42,B50,B59),IF(B50&gt;1,MIN(B50,B59),B59)))</f>
        <v>1.0305543181774397</v>
      </c>
      <c r="C10" s="164">
        <f t="shared" si="3"/>
        <v>1.0334843201936128</v>
      </c>
      <c r="D10" s="164">
        <f t="shared" si="3"/>
        <v>1.0545197202797205</v>
      </c>
      <c r="E10" s="164">
        <f t="shared" si="3"/>
        <v>1.0545197202797205</v>
      </c>
      <c r="F10" s="164">
        <f t="shared" si="3"/>
        <v>1.0339734979364248</v>
      </c>
      <c r="G10" s="164">
        <f t="shared" si="3"/>
        <v>1.0545197202797205</v>
      </c>
      <c r="H10" s="164">
        <f t="shared" si="3"/>
        <v>1.0545197202797205</v>
      </c>
      <c r="I10" s="164">
        <f t="shared" si="3"/>
        <v>1.0545197202797205</v>
      </c>
    </row>
    <row r="11" spans="1:9" ht="15" thickTop="1">
      <c r="A11" s="157" t="s">
        <v>273</v>
      </c>
      <c r="B11" s="155">
        <f aca="true" t="shared" si="4" ref="B11:I11">IF(B10=B34,B30,IF(B10=B42,B38,IF(B10=B50,B46,B55)))</f>
        <v>16</v>
      </c>
      <c r="C11" s="155">
        <f t="shared" si="4"/>
        <v>12</v>
      </c>
      <c r="D11" s="155">
        <f t="shared" si="4"/>
        <v>12</v>
      </c>
      <c r="E11" s="155">
        <f t="shared" si="4"/>
        <v>12</v>
      </c>
      <c r="F11" s="155">
        <f t="shared" si="4"/>
        <v>12</v>
      </c>
      <c r="G11" s="155">
        <f t="shared" si="4"/>
        <v>12</v>
      </c>
      <c r="H11" s="155">
        <f t="shared" si="4"/>
        <v>12</v>
      </c>
      <c r="I11" s="155">
        <f t="shared" si="4"/>
        <v>12</v>
      </c>
    </row>
    <row r="12" spans="1:13" ht="14.25">
      <c r="A12" s="169"/>
      <c r="B12" s="170"/>
      <c r="C12" s="170"/>
      <c r="D12" s="170"/>
      <c r="E12" s="170"/>
      <c r="F12" s="170"/>
      <c r="G12" s="170"/>
      <c r="H12" s="170"/>
      <c r="I12" s="171"/>
      <c r="J12" s="1"/>
      <c r="K12" s="1"/>
      <c r="M12" s="1"/>
    </row>
    <row r="13" spans="1:13" ht="14.25">
      <c r="A13" s="169"/>
      <c r="B13" s="170"/>
      <c r="C13" s="170"/>
      <c r="D13" s="170"/>
      <c r="E13" s="170"/>
      <c r="F13" s="170"/>
      <c r="G13" s="170"/>
      <c r="H13" s="170"/>
      <c r="I13" s="171"/>
      <c r="J13" s="1"/>
      <c r="K13" s="1"/>
      <c r="M13" s="1"/>
    </row>
    <row r="14" spans="1:13" ht="14.25">
      <c r="A14" s="169"/>
      <c r="B14" s="170"/>
      <c r="C14" s="170"/>
      <c r="D14" s="170"/>
      <c r="E14" s="170"/>
      <c r="F14" s="170"/>
      <c r="G14" s="170"/>
      <c r="H14" s="170"/>
      <c r="I14" s="171"/>
      <c r="J14" s="1"/>
      <c r="K14" s="1"/>
      <c r="M14" s="1"/>
    </row>
    <row r="15" spans="1:13" ht="14.25">
      <c r="A15" s="169"/>
      <c r="B15" s="170"/>
      <c r="C15" s="170"/>
      <c r="D15" s="170"/>
      <c r="E15" s="170"/>
      <c r="F15" s="170"/>
      <c r="G15" s="170"/>
      <c r="H15" s="170"/>
      <c r="I15" s="171"/>
      <c r="J15" s="1"/>
      <c r="K15" s="1"/>
      <c r="M15" s="1"/>
    </row>
    <row r="16" spans="1:13" ht="14.25">
      <c r="A16" s="169"/>
      <c r="B16" s="170"/>
      <c r="C16" s="170"/>
      <c r="D16" s="170"/>
      <c r="E16" s="170"/>
      <c r="F16" s="170"/>
      <c r="G16" s="170"/>
      <c r="H16" s="170"/>
      <c r="I16" s="171"/>
      <c r="J16" s="1"/>
      <c r="K16" s="1"/>
      <c r="M16" s="1"/>
    </row>
    <row r="17" spans="1:13" ht="14.25">
      <c r="A17" s="169"/>
      <c r="B17" s="170"/>
      <c r="C17" s="170"/>
      <c r="D17" s="170"/>
      <c r="E17" s="170"/>
      <c r="F17" s="170"/>
      <c r="G17" s="170"/>
      <c r="H17" s="170"/>
      <c r="I17" s="171"/>
      <c r="J17" s="1"/>
      <c r="K17" s="1"/>
      <c r="M17" s="1"/>
    </row>
    <row r="18" spans="1:13" ht="14.25">
      <c r="A18" s="169"/>
      <c r="B18" s="170"/>
      <c r="C18" s="170"/>
      <c r="D18" s="170"/>
      <c r="E18" s="170"/>
      <c r="F18" s="170"/>
      <c r="G18" s="170"/>
      <c r="H18" s="170"/>
      <c r="I18" s="171"/>
      <c r="J18" s="1"/>
      <c r="K18" s="1"/>
      <c r="M18" s="1"/>
    </row>
    <row r="19" spans="1:13" ht="14.25">
      <c r="A19" s="169"/>
      <c r="B19" s="170"/>
      <c r="C19" s="170"/>
      <c r="D19" s="170"/>
      <c r="E19" s="170"/>
      <c r="F19" s="170"/>
      <c r="G19" s="170"/>
      <c r="H19" s="170"/>
      <c r="I19" s="171"/>
      <c r="J19" s="1"/>
      <c r="K19" s="1"/>
      <c r="M19" s="1"/>
    </row>
    <row r="20" spans="1:13" ht="14.25">
      <c r="A20" s="169"/>
      <c r="B20" s="170"/>
      <c r="C20" s="170"/>
      <c r="D20" s="170"/>
      <c r="E20" s="170"/>
      <c r="F20" s="170"/>
      <c r="G20" s="170"/>
      <c r="H20" s="170"/>
      <c r="I20" s="171"/>
      <c r="J20" s="1"/>
      <c r="K20" s="1"/>
      <c r="M20" s="1"/>
    </row>
    <row r="21" spans="1:13" ht="14.25">
      <c r="A21" s="169"/>
      <c r="B21" s="170"/>
      <c r="C21" s="170"/>
      <c r="D21" s="170"/>
      <c r="E21" s="170"/>
      <c r="F21" s="170"/>
      <c r="G21" s="170"/>
      <c r="H21" s="170"/>
      <c r="I21" s="171"/>
      <c r="J21" s="1"/>
      <c r="K21" s="1"/>
      <c r="M21" s="1"/>
    </row>
    <row r="22" spans="1:13" ht="14.25">
      <c r="A22" s="169"/>
      <c r="B22" s="170"/>
      <c r="C22" s="170"/>
      <c r="D22" s="170"/>
      <c r="E22" s="170"/>
      <c r="F22" s="170"/>
      <c r="G22" s="170"/>
      <c r="H22" s="170"/>
      <c r="I22" s="171"/>
      <c r="J22" s="1"/>
      <c r="K22" s="1"/>
      <c r="M22" s="1"/>
    </row>
    <row r="23" spans="1:13" ht="14.25">
      <c r="A23" s="169"/>
      <c r="B23" s="170"/>
      <c r="C23" s="170"/>
      <c r="D23" s="170"/>
      <c r="E23" s="170"/>
      <c r="F23" s="170"/>
      <c r="G23" s="170"/>
      <c r="H23" s="170"/>
      <c r="I23" s="171"/>
      <c r="J23" s="1"/>
      <c r="K23" s="1"/>
      <c r="M23" s="1"/>
    </row>
    <row r="24" spans="1:13" ht="14.25">
      <c r="A24" s="169"/>
      <c r="B24" s="170"/>
      <c r="C24" s="170"/>
      <c r="D24" s="170"/>
      <c r="E24" s="170"/>
      <c r="F24" s="170"/>
      <c r="G24" s="170"/>
      <c r="H24" s="170"/>
      <c r="I24" s="171"/>
      <c r="J24" s="1"/>
      <c r="K24" s="1"/>
      <c r="M24" s="1"/>
    </row>
    <row r="25" spans="1:13" ht="14.25">
      <c r="A25" s="169"/>
      <c r="B25" s="170"/>
      <c r="C25" s="170"/>
      <c r="D25" s="170"/>
      <c r="E25" s="170"/>
      <c r="F25" s="170"/>
      <c r="G25" s="170"/>
      <c r="H25" s="170"/>
      <c r="I25" s="171"/>
      <c r="J25" s="1"/>
      <c r="K25" s="1"/>
      <c r="M25" s="1"/>
    </row>
    <row r="26" spans="1:13" ht="14.25">
      <c r="A26" s="169"/>
      <c r="B26" s="170"/>
      <c r="C26" s="170"/>
      <c r="D26" s="170"/>
      <c r="E26" s="170"/>
      <c r="F26" s="170"/>
      <c r="G26" s="170"/>
      <c r="H26" s="170"/>
      <c r="I26" s="171"/>
      <c r="J26" s="1"/>
      <c r="K26" s="1"/>
      <c r="M26" s="1"/>
    </row>
    <row r="27" spans="1:13" ht="14.25">
      <c r="A27" s="169"/>
      <c r="B27" s="170"/>
      <c r="C27" s="170"/>
      <c r="D27" s="170"/>
      <c r="E27" s="170"/>
      <c r="F27" s="170"/>
      <c r="G27" s="170"/>
      <c r="H27" s="170"/>
      <c r="I27" s="171"/>
      <c r="J27" s="1"/>
      <c r="K27" s="1"/>
      <c r="M27" s="1"/>
    </row>
    <row r="28" spans="1:13" ht="15" thickBot="1">
      <c r="A28" s="169"/>
      <c r="B28" s="170"/>
      <c r="C28" s="170"/>
      <c r="D28" s="170"/>
      <c r="E28" s="170"/>
      <c r="F28" s="170"/>
      <c r="G28" s="170"/>
      <c r="H28" s="170"/>
      <c r="I28" s="171"/>
      <c r="J28" s="1"/>
      <c r="K28" s="1"/>
      <c r="M28" s="1"/>
    </row>
    <row r="29" spans="1:9" ht="15" thickTop="1">
      <c r="A29" s="340" t="s">
        <v>274</v>
      </c>
      <c r="B29" s="341"/>
      <c r="C29" s="341"/>
      <c r="D29" s="341"/>
      <c r="E29" s="341"/>
      <c r="F29" s="341"/>
      <c r="G29" s="341"/>
      <c r="H29" s="341"/>
      <c r="I29" s="342"/>
    </row>
    <row r="30" spans="1:9" ht="14.25">
      <c r="A30" s="157" t="s">
        <v>104</v>
      </c>
      <c r="B30" s="155">
        <v>12</v>
      </c>
      <c r="C30" s="155">
        <v>12</v>
      </c>
      <c r="D30" s="155">
        <v>12</v>
      </c>
      <c r="E30" s="155">
        <v>12</v>
      </c>
      <c r="F30" s="155">
        <v>12</v>
      </c>
      <c r="G30" s="155">
        <v>12</v>
      </c>
      <c r="H30" s="155">
        <v>12</v>
      </c>
      <c r="I30" s="158">
        <v>12</v>
      </c>
    </row>
    <row r="31" spans="1:9" ht="14.25">
      <c r="A31" s="157" t="s">
        <v>105</v>
      </c>
      <c r="B31" s="156">
        <f>IF(INT(1000/('X向计算'!B$19/(B30^2*PI()/4))/10)*10&gt;200,200,IF(INT(1000/('X向计算'!B$19/(B30^2*PI()/4))/10)*10&lt;100,100,INT(1000/('X向计算'!B$19/(B30^2*PI()/4))/10)*10))</f>
        <v>100</v>
      </c>
      <c r="C31" s="156">
        <f>IF(INT(1000/('X向计算'!C$19/(C30^2*PI()/4))/10)*10&gt;200,200,IF(INT(1000/('X向计算'!C$19/(C30^2*PI()/4))/10)*10&lt;100,100,INT(1000/('X向计算'!C$19/(C30^2*PI()/4))/10)*10))</f>
        <v>170</v>
      </c>
      <c r="D31" s="156">
        <f>IF(INT(1000/('X向计算'!D$19/(D30^2*PI()/4))/10)*10&gt;200,200,IF(INT(1000/('X向计算'!D$19/(D30^2*PI()/4))/10)*10&lt;100,100,INT(1000/('X向计算'!D$19/(D30^2*PI()/4))/10)*10))</f>
        <v>200</v>
      </c>
      <c r="E31" s="156">
        <f>IF(INT(1000/('X向计算'!E$19/(E30^2*PI()/4))/10)*10&gt;200,200,IF(INT(1000/('X向计算'!E$19/(E30^2*PI()/4))/10)*10&lt;100,100,INT(1000/('X向计算'!E$19/(E30^2*PI()/4))/10)*10))</f>
        <v>200</v>
      </c>
      <c r="F31" s="156">
        <f>IF(INT(1000/('X向计算'!F$19/(F30^2*PI()/4))/10)*10&gt;200,200,IF(INT(1000/('X向计算'!F$19/(F30^2*PI()/4))/10)*10&lt;100,100,INT(1000/('X向计算'!F$19/(F30^2*PI()/4))/10)*10))</f>
        <v>150</v>
      </c>
      <c r="G31" s="156">
        <f>IF(INT(1000/('X向计算'!G$19/(G30^2*PI()/4))/10)*10&gt;200,200,IF(INT(1000/('X向计算'!G$19/(G30^2*PI()/4))/10)*10&lt;100,100,INT(1000/('X向计算'!G$19/(G30^2*PI()/4))/10)*10))</f>
        <v>200</v>
      </c>
      <c r="H31" s="156">
        <f>IF(INT(1000/('X向计算'!H$19/(H30^2*PI()/4))/10)*10&gt;200,200,IF(INT(1000/('X向计算'!H$19/(H30^2*PI()/4))/10)*10&lt;100,100,INT(1000/('X向计算'!H$19/(H30^2*PI()/4))/10)*10))</f>
        <v>200</v>
      </c>
      <c r="I31" s="156">
        <f>IF(INT(1000/('X向计算'!I$19/(I30^2*PI()/4))/10)*10&gt;200,200,IF(INT(1000/('X向计算'!I$19/(I30^2*PI()/4))/10)*10&lt;100,100,INT(1000/('X向计算'!I$19/(I30^2*PI()/4))/10)*10))</f>
        <v>200</v>
      </c>
    </row>
    <row r="32" spans="1:9" ht="14.25">
      <c r="A32" s="157"/>
      <c r="B32" s="156" t="str">
        <f>"d"&amp;B30&amp;"@"&amp;B31</f>
        <v>d12@100</v>
      </c>
      <c r="C32" s="156" t="str">
        <f aca="true" t="shared" si="5" ref="C32:I32">"d"&amp;C30&amp;"@"&amp;C31</f>
        <v>d12@170</v>
      </c>
      <c r="D32" s="156" t="str">
        <f t="shared" si="5"/>
        <v>d12@200</v>
      </c>
      <c r="E32" s="156" t="str">
        <f t="shared" si="5"/>
        <v>d12@200</v>
      </c>
      <c r="F32" s="156" t="str">
        <f t="shared" si="5"/>
        <v>d12@150</v>
      </c>
      <c r="G32" s="156" t="str">
        <f t="shared" si="5"/>
        <v>d12@200</v>
      </c>
      <c r="H32" s="156" t="str">
        <f t="shared" si="5"/>
        <v>d12@200</v>
      </c>
      <c r="I32" s="156" t="str">
        <f t="shared" si="5"/>
        <v>d12@200</v>
      </c>
    </row>
    <row r="33" spans="1:9" ht="14.25">
      <c r="A33" s="157" t="s">
        <v>267</v>
      </c>
      <c r="B33" s="156">
        <f>3.14159*B30^2/4*1000/B31</f>
        <v>1130.9724</v>
      </c>
      <c r="C33" s="156">
        <f aca="true" t="shared" si="6" ref="C33:I33">3.14159*C30^2/4*1000/C31</f>
        <v>665.2778823529412</v>
      </c>
      <c r="D33" s="156">
        <f t="shared" si="6"/>
        <v>565.4862</v>
      </c>
      <c r="E33" s="156">
        <f t="shared" si="6"/>
        <v>565.4862</v>
      </c>
      <c r="F33" s="156">
        <f t="shared" si="6"/>
        <v>753.9816000000001</v>
      </c>
      <c r="G33" s="156">
        <f t="shared" si="6"/>
        <v>565.4862</v>
      </c>
      <c r="H33" s="156">
        <f t="shared" si="6"/>
        <v>565.4862</v>
      </c>
      <c r="I33" s="156">
        <f t="shared" si="6"/>
        <v>565.4862</v>
      </c>
    </row>
    <row r="34" spans="1:9" s="163" customFormat="1" ht="15" thickBot="1">
      <c r="A34" s="161" t="s">
        <v>268</v>
      </c>
      <c r="B34" s="162">
        <f>B33/'X向计算'!B$19</f>
        <v>0.9274988863596958</v>
      </c>
      <c r="C34" s="162">
        <f>C33/'X向计算'!C$19</f>
        <v>1.0334843201936128</v>
      </c>
      <c r="D34" s="162">
        <f>D33/'X向计算'!D$19</f>
        <v>1.0545197202797205</v>
      </c>
      <c r="E34" s="162">
        <f>E33/'X向计算'!E$19</f>
        <v>1.0545197202797205</v>
      </c>
      <c r="F34" s="162">
        <f>F33/'X向计算'!F$19</f>
        <v>1.0339734979364248</v>
      </c>
      <c r="G34" s="162">
        <f>G33/'X向计算'!G$19</f>
        <v>1.0545197202797205</v>
      </c>
      <c r="H34" s="162">
        <f>H33/'X向计算'!H$19</f>
        <v>1.0545197202797205</v>
      </c>
      <c r="I34" s="162">
        <f>I33/'X向计算'!I$19</f>
        <v>1.0545197202797205</v>
      </c>
    </row>
    <row r="35" spans="2:11" ht="15" thickTop="1">
      <c r="B35" s="160" t="str">
        <f>IF(B33/'X向计算'!B$19&lt;1," 不足!","")</f>
        <v> 不足!</v>
      </c>
      <c r="C35" s="160">
        <f>IF(C33/'X向计算'!C$19&lt;1," 不足","")</f>
      </c>
      <c r="D35" s="160">
        <f>IF(D33/'X向计算'!D$19&lt;1," 不足","")</f>
      </c>
      <c r="E35" s="160">
        <f>IF(E33/'X向计算'!E$19&lt;1," 不足","")</f>
      </c>
      <c r="F35" s="160">
        <f>IF(F33/'X向计算'!F$19&lt;1," 不足","")</f>
      </c>
      <c r="G35" s="160">
        <f>IF(G33/'X向计算'!G$19&lt;1," 不足","")</f>
      </c>
      <c r="H35" s="160">
        <f>IF(H33/'X向计算'!H$19&lt;1," 不足","")</f>
      </c>
      <c r="I35" s="160">
        <f>IF(I33/'X向计算'!I$19&lt;1," 不足","")</f>
      </c>
      <c r="K35" s="159" t="e">
        <f>#REF!&amp;","&amp;#REF!</f>
        <v>#REF!</v>
      </c>
    </row>
    <row r="36" ht="15" thickBot="1"/>
    <row r="37" spans="1:9" ht="15" thickTop="1">
      <c r="A37" s="340" t="s">
        <v>274</v>
      </c>
      <c r="B37" s="341"/>
      <c r="C37" s="341"/>
      <c r="D37" s="341"/>
      <c r="E37" s="341"/>
      <c r="F37" s="341"/>
      <c r="G37" s="341"/>
      <c r="H37" s="341"/>
      <c r="I37" s="342"/>
    </row>
    <row r="38" spans="1:9" ht="15" customHeight="1">
      <c r="A38" s="157" t="s">
        <v>104</v>
      </c>
      <c r="B38" s="155">
        <v>14</v>
      </c>
      <c r="C38" s="155">
        <v>14</v>
      </c>
      <c r="D38" s="155">
        <v>14</v>
      </c>
      <c r="E38" s="155">
        <v>14</v>
      </c>
      <c r="F38" s="155">
        <v>14</v>
      </c>
      <c r="G38" s="155">
        <v>14</v>
      </c>
      <c r="H38" s="155">
        <v>14</v>
      </c>
      <c r="I38" s="155">
        <v>14</v>
      </c>
    </row>
    <row r="39" spans="1:9" ht="14.25">
      <c r="A39" s="157" t="s">
        <v>105</v>
      </c>
      <c r="B39" s="156">
        <f>IF(INT(1000/('X向计算'!B$19/(B38^2*PI()/4))/10)*10&gt;200,200,IF(INT(1000/('X向计算'!B$19/(B38^2*PI()/4))/10)*10&lt;100,100,INT(1000/('X向计算'!B$19/(B38^2*PI()/4))/10)*10))</f>
        <v>120</v>
      </c>
      <c r="C39" s="156">
        <f>IF(INT(1000/('X向计算'!C$19/(C38^2*PI()/4))/10)*10&gt;200,200,IF(INT(1000/('X向计算'!C$19/(C38^2*PI()/4))/10)*10&lt;100,100,INT(1000/('X向计算'!C$19/(C38^2*PI()/4))/10)*10))</f>
        <v>200</v>
      </c>
      <c r="D39" s="156">
        <f>IF(INT(1000/('X向计算'!D$19/(D38^2*PI()/4))/10)*10&gt;200,200,IF(INT(1000/('X向计算'!D$19/(D38^2*PI()/4))/10)*10&lt;100,100,INT(1000/('X向计算'!D$19/(D38^2*PI()/4))/10)*10))</f>
        <v>200</v>
      </c>
      <c r="E39" s="156">
        <f>IF(INT(1000/('X向计算'!E$19/(E38^2*PI()/4))/10)*10&gt;200,200,IF(INT(1000/('X向计算'!E$19/(E38^2*PI()/4))/10)*10&lt;100,100,INT(1000/('X向计算'!E$19/(E38^2*PI()/4))/10)*10))</f>
        <v>200</v>
      </c>
      <c r="F39" s="156">
        <f>IF(INT(1000/('X向计算'!F$19/(F38^2*PI()/4))/10)*10&gt;200,200,IF(INT(1000/('X向计算'!F$19/(F38^2*PI()/4))/10)*10&lt;100,100,INT(1000/('X向计算'!F$19/(F38^2*PI()/4))/10)*10))</f>
        <v>200</v>
      </c>
      <c r="G39" s="156">
        <f>IF(INT(1000/('X向计算'!G$19/(G38^2*PI()/4))/10)*10&gt;200,200,IF(INT(1000/('X向计算'!G$19/(G38^2*PI()/4))/10)*10&lt;100,100,INT(1000/('X向计算'!G$19/(G38^2*PI()/4))/10)*10))</f>
        <v>200</v>
      </c>
      <c r="H39" s="156">
        <f>IF(INT(1000/('X向计算'!H$19/(H38^2*PI()/4))/10)*10&gt;200,200,IF(INT(1000/('X向计算'!H$19/(H38^2*PI()/4))/10)*10&lt;100,100,INT(1000/('X向计算'!H$19/(H38^2*PI()/4))/10)*10))</f>
        <v>200</v>
      </c>
      <c r="I39" s="156">
        <f>IF(INT(1000/('X向计算'!I$19/(I38^2*PI()/4))/10)*10&gt;200,200,IF(INT(1000/('X向计算'!I$19/(I38^2*PI()/4))/10)*10&lt;100,100,INT(1000/('X向计算'!I$19/(I38^2*PI()/4))/10)*10))</f>
        <v>200</v>
      </c>
    </row>
    <row r="40" spans="1:9" ht="14.25">
      <c r="A40" s="157"/>
      <c r="B40" s="156" t="str">
        <f>"d"&amp;B38&amp;"@"&amp;B39</f>
        <v>d14@120</v>
      </c>
      <c r="C40" s="156" t="str">
        <f aca="true" t="shared" si="7" ref="C40:I40">"d"&amp;C38&amp;"@"&amp;C39</f>
        <v>d14@200</v>
      </c>
      <c r="D40" s="156" t="str">
        <f t="shared" si="7"/>
        <v>d14@200</v>
      </c>
      <c r="E40" s="156" t="str">
        <f t="shared" si="7"/>
        <v>d14@200</v>
      </c>
      <c r="F40" s="156" t="str">
        <f t="shared" si="7"/>
        <v>d14@200</v>
      </c>
      <c r="G40" s="156" t="str">
        <f t="shared" si="7"/>
        <v>d14@200</v>
      </c>
      <c r="H40" s="156" t="str">
        <f t="shared" si="7"/>
        <v>d14@200</v>
      </c>
      <c r="I40" s="156" t="str">
        <f t="shared" si="7"/>
        <v>d14@200</v>
      </c>
    </row>
    <row r="41" spans="1:9" ht="14.25">
      <c r="A41" s="157" t="s">
        <v>267</v>
      </c>
      <c r="B41" s="156">
        <f>3.14159*B38^2/4*1000/B39</f>
        <v>1282.8159166666665</v>
      </c>
      <c r="C41" s="156">
        <f aca="true" t="shared" si="8" ref="C41:I41">3.14159*C38^2/4*1000/C39</f>
        <v>769.6895499999998</v>
      </c>
      <c r="D41" s="156">
        <f t="shared" si="8"/>
        <v>769.6895499999998</v>
      </c>
      <c r="E41" s="156">
        <f t="shared" si="8"/>
        <v>769.6895499999998</v>
      </c>
      <c r="F41" s="156">
        <f t="shared" si="8"/>
        <v>769.6895499999998</v>
      </c>
      <c r="G41" s="156">
        <f t="shared" si="8"/>
        <v>769.6895499999998</v>
      </c>
      <c r="H41" s="156">
        <f t="shared" si="8"/>
        <v>769.6895499999998</v>
      </c>
      <c r="I41" s="156">
        <f t="shared" si="8"/>
        <v>769.6895499999998</v>
      </c>
    </row>
    <row r="42" spans="1:9" s="163" customFormat="1" ht="15" thickBot="1">
      <c r="A42" s="161" t="s">
        <v>270</v>
      </c>
      <c r="B42" s="162">
        <f>B41/'X向计算'!B$19</f>
        <v>1.0520241998061362</v>
      </c>
      <c r="C42" s="162">
        <f>C41/'X向计算'!C$19</f>
        <v>1.1956839426684434</v>
      </c>
      <c r="D42" s="162">
        <f>D41/'X向计算'!D$19</f>
        <v>1.435318508158508</v>
      </c>
      <c r="E42" s="162">
        <f>E41/'X向计算'!E$19</f>
        <v>1.435318508158508</v>
      </c>
      <c r="F42" s="162">
        <f>F41/'X向计算'!F$19</f>
        <v>1.0555146124767665</v>
      </c>
      <c r="G42" s="162">
        <f>G41/'X向计算'!G$19</f>
        <v>1.435318508158508</v>
      </c>
      <c r="H42" s="162">
        <f>H41/'X向计算'!H$19</f>
        <v>1.435318508158508</v>
      </c>
      <c r="I42" s="162">
        <f>I41/'X向计算'!I$19</f>
        <v>1.435318508158508</v>
      </c>
    </row>
    <row r="43" spans="2:9" ht="15" thickTop="1">
      <c r="B43" s="160">
        <f>IF(B41/'X向计算'!B$19&lt;1," 不足!","")</f>
      </c>
      <c r="C43" s="160">
        <f>IF(C41/'X向计算'!C$19&lt;1," 不足!","")</f>
      </c>
      <c r="D43" s="160">
        <f>IF(D41/'X向计算'!D$19&lt;1," 不足!","")</f>
      </c>
      <c r="E43" s="160">
        <f>IF(E41/'X向计算'!E$19&lt;1," 不足!","")</f>
      </c>
      <c r="F43" s="160">
        <f>IF(F41/'X向计算'!F$19&lt;1," 不足!","")</f>
      </c>
      <c r="G43" s="160">
        <f>IF(G41/'X向计算'!G$19&lt;1," 不足!","")</f>
      </c>
      <c r="H43" s="160">
        <f>IF(H41/'X向计算'!H$19&lt;1," 不足!","")</f>
      </c>
      <c r="I43" s="160">
        <f>IF(I41/'X向计算'!I$19&lt;1," 不足!","")</f>
      </c>
    </row>
    <row r="44" ht="15" thickBot="1"/>
    <row r="45" spans="1:9" ht="15" thickTop="1">
      <c r="A45" s="340" t="s">
        <v>274</v>
      </c>
      <c r="B45" s="341"/>
      <c r="C45" s="341"/>
      <c r="D45" s="341"/>
      <c r="E45" s="341"/>
      <c r="F45" s="341"/>
      <c r="G45" s="341"/>
      <c r="H45" s="341"/>
      <c r="I45" s="342"/>
    </row>
    <row r="46" spans="1:9" ht="14.25">
      <c r="A46" s="157" t="s">
        <v>104</v>
      </c>
      <c r="B46" s="155">
        <v>16</v>
      </c>
      <c r="C46" s="155">
        <v>16</v>
      </c>
      <c r="D46" s="155">
        <v>16</v>
      </c>
      <c r="E46" s="155">
        <v>16</v>
      </c>
      <c r="F46" s="155">
        <v>16</v>
      </c>
      <c r="G46" s="155">
        <v>16</v>
      </c>
      <c r="H46" s="155">
        <v>16</v>
      </c>
      <c r="I46" s="155">
        <v>16</v>
      </c>
    </row>
    <row r="47" spans="1:9" ht="14.25">
      <c r="A47" s="157" t="s">
        <v>105</v>
      </c>
      <c r="B47" s="156">
        <f>IF(INT(1000/('X向计算'!B$19/(B46^2*PI()/4))/10)*10&gt;200,200,IF(INT(1000/('X向计算'!B$19/(B46^2*PI()/4))/10)*10&lt;100,100,INT(1000/('X向计算'!B$19/(B46^2*PI()/4))/10)*10))</f>
        <v>160</v>
      </c>
      <c r="C47" s="156">
        <f>IF(INT(1000/('X向计算'!C$19/(C46^2*PI()/4))/10)*10&gt;200,200,IF(INT(1000/('X向计算'!C$19/(C46^2*PI()/4))/10)*10&lt;100,100,INT(1000/('X向计算'!C$19/(C46^2*PI()/4))/10)*10))</f>
        <v>200</v>
      </c>
      <c r="D47" s="156">
        <f>IF(INT(1000/('X向计算'!D$19/(D46^2*PI()/4))/10)*10&gt;200,200,IF(INT(1000/('X向计算'!D$19/(D46^2*PI()/4))/10)*10&lt;100,100,INT(1000/('X向计算'!D$19/(D46^2*PI()/4))/10)*10))</f>
        <v>200</v>
      </c>
      <c r="E47" s="156">
        <f>IF(INT(1000/('X向计算'!E$19/(E46^2*PI()/4))/10)*10&gt;200,200,IF(INT(1000/('X向计算'!E$19/(E46^2*PI()/4))/10)*10&lt;100,100,INT(1000/('X向计算'!E$19/(E46^2*PI()/4))/10)*10))</f>
        <v>200</v>
      </c>
      <c r="F47" s="156">
        <f>IF(INT(1000/('X向计算'!F$19/(F46^2*PI()/4))/10)*10&gt;200,200,IF(INT(1000/('X向计算'!F$19/(F46^2*PI()/4))/10)*10&lt;100,100,INT(1000/('X向计算'!F$19/(F46^2*PI()/4))/10)*10))</f>
        <v>200</v>
      </c>
      <c r="G47" s="156">
        <f>IF(INT(1000/('X向计算'!G$19/(G46^2*PI()/4))/10)*10&gt;200,200,IF(INT(1000/('X向计算'!G$19/(G46^2*PI()/4))/10)*10&lt;100,100,INT(1000/('X向计算'!G$19/(G46^2*PI()/4))/10)*10))</f>
        <v>200</v>
      </c>
      <c r="H47" s="156">
        <f>IF(INT(1000/('X向计算'!H$19/(H46^2*PI()/4))/10)*10&gt;200,200,IF(INT(1000/('X向计算'!H$19/(H46^2*PI()/4))/10)*10&lt;100,100,INT(1000/('X向计算'!H$19/(H46^2*PI()/4))/10)*10))</f>
        <v>200</v>
      </c>
      <c r="I47" s="156">
        <f>IF(INT(1000/('X向计算'!I$19/(I46^2*PI()/4))/10)*10&gt;200,200,IF(INT(1000/('X向计算'!I$19/(I46^2*PI()/4))/10)*10&lt;100,100,INT(1000/('X向计算'!I$19/(I46^2*PI()/4))/10)*10))</f>
        <v>200</v>
      </c>
    </row>
    <row r="48" spans="1:9" ht="14.25">
      <c r="A48" s="157"/>
      <c r="B48" s="156" t="str">
        <f>"d"&amp;B46&amp;"@"&amp;B47</f>
        <v>d16@160</v>
      </c>
      <c r="C48" s="156" t="str">
        <f aca="true" t="shared" si="9" ref="C48:I48">"d"&amp;C46&amp;"@"&amp;C47</f>
        <v>d16@200</v>
      </c>
      <c r="D48" s="156" t="str">
        <f t="shared" si="9"/>
        <v>d16@200</v>
      </c>
      <c r="E48" s="156" t="str">
        <f t="shared" si="9"/>
        <v>d16@200</v>
      </c>
      <c r="F48" s="156" t="str">
        <f t="shared" si="9"/>
        <v>d16@200</v>
      </c>
      <c r="G48" s="156" t="str">
        <f t="shared" si="9"/>
        <v>d16@200</v>
      </c>
      <c r="H48" s="156" t="str">
        <f t="shared" si="9"/>
        <v>d16@200</v>
      </c>
      <c r="I48" s="156" t="str">
        <f t="shared" si="9"/>
        <v>d16@200</v>
      </c>
    </row>
    <row r="49" spans="1:9" ht="14.25">
      <c r="A49" s="157" t="s">
        <v>267</v>
      </c>
      <c r="B49" s="156">
        <f>3.14159*B46^2/4*1000/B47</f>
        <v>1256.636</v>
      </c>
      <c r="C49" s="156">
        <f aca="true" t="shared" si="10" ref="C49:I49">3.14159*C46^2/4*1000/C47</f>
        <v>1005.3087999999999</v>
      </c>
      <c r="D49" s="156">
        <f t="shared" si="10"/>
        <v>1005.3087999999999</v>
      </c>
      <c r="E49" s="156">
        <f t="shared" si="10"/>
        <v>1005.3087999999999</v>
      </c>
      <c r="F49" s="156">
        <f t="shared" si="10"/>
        <v>1005.3087999999999</v>
      </c>
      <c r="G49" s="156">
        <f t="shared" si="10"/>
        <v>1005.3087999999999</v>
      </c>
      <c r="H49" s="156">
        <f t="shared" si="10"/>
        <v>1005.3087999999999</v>
      </c>
      <c r="I49" s="156">
        <f t="shared" si="10"/>
        <v>1005.3087999999999</v>
      </c>
    </row>
    <row r="50" spans="1:9" s="163" customFormat="1" ht="15" thickBot="1">
      <c r="A50" s="161" t="s">
        <v>270</v>
      </c>
      <c r="B50" s="162">
        <f>B49/'X向计算'!B$19</f>
        <v>1.0305543181774397</v>
      </c>
      <c r="C50" s="162">
        <f>C49/'X向计算'!C$19</f>
        <v>1.5617096394036813</v>
      </c>
      <c r="D50" s="162">
        <f>D49/'X向计算'!D$19</f>
        <v>1.8747017249417253</v>
      </c>
      <c r="E50" s="162">
        <f>E49/'X向计算'!E$19</f>
        <v>1.8747017249417253</v>
      </c>
      <c r="F50" s="162">
        <f>F49/'X向计算'!F$19</f>
        <v>1.3786313305818994</v>
      </c>
      <c r="G50" s="162">
        <f>G49/'X向计算'!G$19</f>
        <v>1.8747017249417253</v>
      </c>
      <c r="H50" s="162">
        <f>H49/'X向计算'!H$19</f>
        <v>1.8747017249417253</v>
      </c>
      <c r="I50" s="162">
        <f>I49/'X向计算'!I$19</f>
        <v>1.8747017249417253</v>
      </c>
    </row>
    <row r="51" spans="2:9" ht="15" thickTop="1">
      <c r="B51" s="160">
        <f>IF(B49/'X向计算'!B$19&lt;1," 不足!","")</f>
      </c>
      <c r="C51" s="160">
        <f>IF(C49/'X向计算'!C$19&lt;1," 不足!","")</f>
      </c>
      <c r="D51" s="160">
        <f>IF(D49/'X向计算'!D$19&lt;1," 不足!","")</f>
      </c>
      <c r="E51" s="160">
        <f>IF(E49/'X向计算'!E$19&lt;1," 不足!","")</f>
      </c>
      <c r="F51" s="160">
        <f>IF(F49/'X向计算'!F$19&lt;1," 不足!","")</f>
      </c>
      <c r="G51" s="160">
        <f>IF(G49/'X向计算'!G$19&lt;1," 不足!","")</f>
      </c>
      <c r="H51" s="160">
        <f>IF(H49/'X向计算'!H$19&lt;1," 不足!","")</f>
      </c>
      <c r="I51" s="160">
        <f>IF(I49/'X向计算'!I$19&lt;1," 不足!","")</f>
      </c>
    </row>
    <row r="53" ht="15" thickBot="1"/>
    <row r="54" spans="1:9" ht="15" thickTop="1">
      <c r="A54" s="340" t="s">
        <v>274</v>
      </c>
      <c r="B54" s="341"/>
      <c r="C54" s="341"/>
      <c r="D54" s="341"/>
      <c r="E54" s="341"/>
      <c r="F54" s="341"/>
      <c r="G54" s="341"/>
      <c r="H54" s="341"/>
      <c r="I54" s="342"/>
    </row>
    <row r="55" spans="1:9" ht="14.25">
      <c r="A55" s="157" t="s">
        <v>104</v>
      </c>
      <c r="B55" s="155">
        <v>18</v>
      </c>
      <c r="C55" s="155">
        <v>18</v>
      </c>
      <c r="D55" s="155">
        <v>18</v>
      </c>
      <c r="E55" s="155">
        <v>18</v>
      </c>
      <c r="F55" s="155">
        <v>18</v>
      </c>
      <c r="G55" s="155">
        <v>18</v>
      </c>
      <c r="H55" s="155">
        <v>18</v>
      </c>
      <c r="I55" s="155">
        <v>18</v>
      </c>
    </row>
    <row r="56" spans="1:9" ht="14.25">
      <c r="A56" s="157" t="s">
        <v>105</v>
      </c>
      <c r="B56" s="156">
        <f>IF(INT(1000/('X向计算'!B$19/(B55^2*PI()/4))/10)*10&gt;200,200,IF(INT(1000/('X向计算'!B$19/(B55^2*PI()/4))/10)*10&lt;100,100,INT(1000/('X向计算'!B$19/(B55^2*PI()/4))/10)*10))</f>
        <v>200</v>
      </c>
      <c r="C56" s="156">
        <f>IF(INT(1000/('X向计算'!C$19/(C55^2*PI()/4))/10)*10&gt;200,200,IF(INT(1000/('X向计算'!C$19/(C55^2*PI()/4))/10)*10&lt;100,100,INT(1000/('X向计算'!C$19/(C55^2*PI()/4))/10)*10))</f>
        <v>200</v>
      </c>
      <c r="D56" s="156">
        <f>IF(INT(1000/('X向计算'!D$19/(D55^2*PI()/4))/10)*10&gt;200,200,IF(INT(1000/('X向计算'!D$19/(D55^2*PI()/4))/10)*10&lt;100,100,INT(1000/('X向计算'!D$19/(D55^2*PI()/4))/10)*10))</f>
        <v>200</v>
      </c>
      <c r="E56" s="156">
        <f>IF(INT(1000/('X向计算'!E$19/(E55^2*PI()/4))/10)*10&gt;200,200,IF(INT(1000/('X向计算'!E$19/(E55^2*PI()/4))/10)*10&lt;100,100,INT(1000/('X向计算'!E$19/(E55^2*PI()/4))/10)*10))</f>
        <v>200</v>
      </c>
      <c r="F56" s="156">
        <f>IF(INT(1000/('X向计算'!F$19/(F55^2*PI()/4))/10)*10&gt;200,200,IF(INT(1000/('X向计算'!F$19/(F55^2*PI()/4))/10)*10&lt;100,100,INT(1000/('X向计算'!F$19/(F55^2*PI()/4))/10)*10))</f>
        <v>200</v>
      </c>
      <c r="G56" s="156">
        <f>IF(INT(1000/('X向计算'!G$19/(G55^2*PI()/4))/10)*10&gt;200,200,IF(INT(1000/('X向计算'!G$19/(G55^2*PI()/4))/10)*10&lt;100,100,INT(1000/('X向计算'!G$19/(G55^2*PI()/4))/10)*10))</f>
        <v>200</v>
      </c>
      <c r="H56" s="156">
        <f>IF(INT(1000/('X向计算'!H$19/(H55^2*PI()/4))/10)*10&gt;200,200,IF(INT(1000/('X向计算'!H$19/(H55^2*PI()/4))/10)*10&lt;100,100,INT(1000/('X向计算'!H$19/(H55^2*PI()/4))/10)*10))</f>
        <v>200</v>
      </c>
      <c r="I56" s="156">
        <f>IF(INT(1000/('X向计算'!I$19/(I55^2*PI()/4))/10)*10&gt;200,200,IF(INT(1000/('X向计算'!I$19/(I55^2*PI()/4))/10)*10&lt;100,100,INT(1000/('X向计算'!I$19/(I55^2*PI()/4))/10)*10))</f>
        <v>200</v>
      </c>
    </row>
    <row r="57" spans="1:9" ht="14.25">
      <c r="A57" s="157"/>
      <c r="B57" s="156" t="str">
        <f>"d"&amp;B55&amp;"@"&amp;B56</f>
        <v>d18@200</v>
      </c>
      <c r="C57" s="156" t="str">
        <f aca="true" t="shared" si="11" ref="C57:I57">"d"&amp;C55&amp;"@"&amp;C56</f>
        <v>d18@200</v>
      </c>
      <c r="D57" s="156" t="str">
        <f t="shared" si="11"/>
        <v>d18@200</v>
      </c>
      <c r="E57" s="156" t="str">
        <f t="shared" si="11"/>
        <v>d18@200</v>
      </c>
      <c r="F57" s="156" t="str">
        <f t="shared" si="11"/>
        <v>d18@200</v>
      </c>
      <c r="G57" s="156" t="str">
        <f t="shared" si="11"/>
        <v>d18@200</v>
      </c>
      <c r="H57" s="156" t="str">
        <f t="shared" si="11"/>
        <v>d18@200</v>
      </c>
      <c r="I57" s="156" t="str">
        <f t="shared" si="11"/>
        <v>d18@200</v>
      </c>
    </row>
    <row r="58" spans="1:9" ht="14.25">
      <c r="A58" s="157" t="s">
        <v>267</v>
      </c>
      <c r="B58" s="156">
        <f>3.14159*B55^2/4*1000/B56</f>
        <v>1272.34395</v>
      </c>
      <c r="C58" s="156">
        <f aca="true" t="shared" si="12" ref="C58:I58">3.14159*C55^2/4*1000/C56</f>
        <v>1272.34395</v>
      </c>
      <c r="D58" s="156">
        <f t="shared" si="12"/>
        <v>1272.34395</v>
      </c>
      <c r="E58" s="156">
        <f t="shared" si="12"/>
        <v>1272.34395</v>
      </c>
      <c r="F58" s="156">
        <f t="shared" si="12"/>
        <v>1272.34395</v>
      </c>
      <c r="G58" s="156">
        <f t="shared" si="12"/>
        <v>1272.34395</v>
      </c>
      <c r="H58" s="156">
        <f t="shared" si="12"/>
        <v>1272.34395</v>
      </c>
      <c r="I58" s="156">
        <f t="shared" si="12"/>
        <v>1272.34395</v>
      </c>
    </row>
    <row r="59" spans="1:9" s="163" customFormat="1" ht="15" thickBot="1">
      <c r="A59" s="161" t="s">
        <v>268</v>
      </c>
      <c r="B59" s="162">
        <f>B58/'X向计算'!B$19</f>
        <v>1.0434362471546577</v>
      </c>
      <c r="C59" s="162">
        <f>C58/'X向计算'!C$19</f>
        <v>1.9765387623702844</v>
      </c>
      <c r="D59" s="162">
        <f>D58/'X向计算'!D$19</f>
        <v>2.372669370629371</v>
      </c>
      <c r="E59" s="162">
        <f>E58/'X向计算'!E$19</f>
        <v>2.372669370629371</v>
      </c>
      <c r="F59" s="162">
        <f>F58/'X向计算'!F$19</f>
        <v>1.7448302777677165</v>
      </c>
      <c r="G59" s="162">
        <f>G58/'X向计算'!G$19</f>
        <v>2.372669370629371</v>
      </c>
      <c r="H59" s="162">
        <f>H58/'X向计算'!H$19</f>
        <v>2.372669370629371</v>
      </c>
      <c r="I59" s="162">
        <f>I58/'X向计算'!I$19</f>
        <v>2.372669370629371</v>
      </c>
    </row>
    <row r="60" ht="15" thickTop="1">
      <c r="B60" s="160">
        <f>IF(B58/'X向计算'!B$19&lt;1," 不足!","")</f>
      </c>
    </row>
    <row r="68" s="163" customFormat="1" ht="14.25"/>
    <row r="96" spans="4:7" ht="14.25">
      <c r="D96" t="str">
        <f>"As＝"&amp;CEILING(D88,0.01)&amp;"*"&amp;10^6&amp;"/("&amp;0.9&amp;"*"&amp;INDEX('混凝土强度和模量'!$B$20:$B$24,'混凝土强度和模量'!$I$20)&amp;"*"&amp;'X向计算'!$F$3-25&amp;")＝"&amp;INT(CEILING(D88,0.01)*10^6/(0.9*INDEX('混凝土强度和模量'!$B$20:$B$24,'混凝土强度和模量'!$I$20)*('X向计算'!$F$3-25)))&amp;" mm2"</f>
        <v>As＝0*1000000/(0.9*300*225)＝0 mm2</v>
      </c>
      <c r="G96" s="264"/>
    </row>
    <row r="104" ht="14.25">
      <c r="D104" s="268" t="str">
        <f>"＝"&amp;CEILING('选筋（X向）'!H18,0.001)&amp;" mm"</f>
        <v>＝0.074 mm</v>
      </c>
    </row>
    <row r="108" ht="14.25">
      <c r="D108" t="str">
        <f>"As＝"&amp;CEILING(E88,0.01)&amp;"*"&amp;10^6&amp;"/("&amp;0.9&amp;"*"&amp;INDEX('混凝土强度和模量'!$B$20:$B$24,'混凝土强度和模量'!$I$20)&amp;"*"&amp;'X向计算'!$F$3-25&amp;")＝"&amp;INT(CEILING(E88,0.01)*10^6/(0.9*INDEX('混凝土强度和模量'!$B$20:$B$24,'混凝土强度和模量'!$I$20)*('X向计算'!$F$3-25)))&amp;" mm2"</f>
        <v>As＝0*1000000/(0.9*300*225)＝0 mm2</v>
      </c>
    </row>
    <row r="116" ht="14.25">
      <c r="D116" t="str">
        <f>"＝"&amp;CEILING('选筋（X向）'!I18,0.001)&amp;" mm"</f>
        <v>＝0.043 mm</v>
      </c>
    </row>
    <row r="128" ht="14.25">
      <c r="D128" t="str">
        <f>"＝"&amp;CEILING('选筋（X向）'!J18,0.001)&amp;" mm"</f>
        <v>＝0.068 mm</v>
      </c>
    </row>
    <row r="140" ht="14.25">
      <c r="D140" t="str">
        <f>"＝"&amp;CEILING('选筋（X向）'!K18,0.001)&amp;" mm"</f>
        <v>＝0.049 mm</v>
      </c>
    </row>
    <row r="194" ht="14.25">
      <c r="D194" t="str">
        <f>"＝"&amp;CEILING('选筋（Y向）'!H18,0.001)&amp;" mm"</f>
        <v>＝0.229 mm</v>
      </c>
    </row>
    <row r="206" ht="14.25">
      <c r="D206" t="str">
        <f>"＝"&amp;CEILING('选筋（Y向）'!I18,0.001)&amp;" mm"</f>
        <v>＝0.058 mm</v>
      </c>
    </row>
    <row r="218" ht="14.25">
      <c r="D218" t="str">
        <f>"＝"&amp;CEILING('选筋（Y向）'!J18,0.001)&amp;" mm"</f>
        <v>＝0.091 mm</v>
      </c>
    </row>
    <row r="230" ht="14.25">
      <c r="D230" t="str">
        <f>"＝"&amp;CEILING('选筋（Y向）'!K18,0.001)&amp;" mm"</f>
        <v>＝0.066 mm</v>
      </c>
    </row>
  </sheetData>
  <sheetProtection sheet="1" objects="1" scenarios="1"/>
  <mergeCells count="6">
    <mergeCell ref="A54:I54"/>
    <mergeCell ref="A2:I2"/>
    <mergeCell ref="A1:I1"/>
    <mergeCell ref="A29:I29"/>
    <mergeCell ref="A37:I37"/>
    <mergeCell ref="A45:I4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K230"/>
  <sheetViews>
    <sheetView zoomScalePageLayoutView="0" workbookViewId="0" topLeftCell="A10">
      <selection activeCell="J27" sqref="J27"/>
    </sheetView>
  </sheetViews>
  <sheetFormatPr defaultColWidth="9.00390625" defaultRowHeight="14.25"/>
  <cols>
    <col min="1" max="1" width="12.625" style="64" customWidth="1"/>
    <col min="2" max="2" width="5.125" style="64" customWidth="1"/>
    <col min="3" max="3" width="7.75390625" style="64" customWidth="1"/>
    <col min="4" max="5" width="5.125" style="64" customWidth="1"/>
    <col min="6" max="7" width="6.125" style="64" customWidth="1"/>
    <col min="8" max="16384" width="9.00390625" style="64" customWidth="1"/>
  </cols>
  <sheetData>
    <row r="1" spans="1:7" ht="12">
      <c r="A1" s="349" t="s">
        <v>3</v>
      </c>
      <c r="B1" s="350"/>
      <c r="C1" s="350"/>
      <c r="D1" s="350"/>
      <c r="E1" s="350"/>
      <c r="F1" s="350"/>
      <c r="G1" s="351"/>
    </row>
    <row r="2" spans="1:7" ht="12.75">
      <c r="A2" s="65" t="s">
        <v>4</v>
      </c>
      <c r="B2" s="66" t="s">
        <v>5</v>
      </c>
      <c r="C2" s="66" t="s">
        <v>6</v>
      </c>
      <c r="D2" s="66" t="s">
        <v>7</v>
      </c>
      <c r="E2" s="66" t="s">
        <v>8</v>
      </c>
      <c r="F2" s="66" t="s">
        <v>9</v>
      </c>
      <c r="G2" s="67" t="s">
        <v>10</v>
      </c>
    </row>
    <row r="3" spans="1:7" ht="12.75">
      <c r="A3" s="68" t="s">
        <v>11</v>
      </c>
      <c r="B3" s="4" t="s">
        <v>12</v>
      </c>
      <c r="C3" s="4" t="s">
        <v>12</v>
      </c>
      <c r="D3" s="4" t="s">
        <v>12</v>
      </c>
      <c r="E3" s="4" t="s">
        <v>12</v>
      </c>
      <c r="F3" s="4" t="s">
        <v>12</v>
      </c>
      <c r="G3" s="5" t="s">
        <v>12</v>
      </c>
    </row>
    <row r="4" spans="1:11" ht="12.75">
      <c r="A4" s="69" t="s">
        <v>13</v>
      </c>
      <c r="B4" s="70">
        <v>10</v>
      </c>
      <c r="C4" s="71">
        <v>1.27</v>
      </c>
      <c r="D4" s="70">
        <v>7.2</v>
      </c>
      <c r="E4" s="70">
        <v>0.91</v>
      </c>
      <c r="F4" s="70">
        <v>22000</v>
      </c>
      <c r="G4" s="72"/>
      <c r="I4" s="64">
        <v>4</v>
      </c>
      <c r="K4" s="64">
        <v>3</v>
      </c>
    </row>
    <row r="5" spans="1:7" ht="12.75">
      <c r="A5" s="69" t="s">
        <v>14</v>
      </c>
      <c r="B5" s="70">
        <v>13.4</v>
      </c>
      <c r="C5" s="71">
        <v>1.54</v>
      </c>
      <c r="D5" s="70">
        <v>9.6</v>
      </c>
      <c r="E5" s="70">
        <v>1.1</v>
      </c>
      <c r="F5" s="70">
        <v>25500</v>
      </c>
      <c r="G5" s="72">
        <v>11000</v>
      </c>
    </row>
    <row r="6" spans="1:7" ht="12.75">
      <c r="A6" s="69" t="s">
        <v>15</v>
      </c>
      <c r="B6" s="73">
        <v>16.7</v>
      </c>
      <c r="C6" s="74">
        <v>1.78</v>
      </c>
      <c r="D6" s="73">
        <v>11.9</v>
      </c>
      <c r="E6" s="73">
        <v>1.27</v>
      </c>
      <c r="F6" s="73">
        <v>28000</v>
      </c>
      <c r="G6" s="75">
        <v>12000</v>
      </c>
    </row>
    <row r="7" spans="1:7" ht="12.75">
      <c r="A7" s="69" t="s">
        <v>16</v>
      </c>
      <c r="B7" s="73">
        <v>20.1</v>
      </c>
      <c r="C7" s="74">
        <v>2.01</v>
      </c>
      <c r="D7" s="73">
        <v>14.3</v>
      </c>
      <c r="E7" s="73">
        <v>1.43</v>
      </c>
      <c r="F7" s="73">
        <v>30000</v>
      </c>
      <c r="G7" s="75">
        <v>13000</v>
      </c>
    </row>
    <row r="8" spans="1:7" ht="12.75">
      <c r="A8" s="69" t="s">
        <v>17</v>
      </c>
      <c r="B8" s="70">
        <v>23.4</v>
      </c>
      <c r="C8" s="71">
        <v>2.2</v>
      </c>
      <c r="D8" s="70">
        <v>16.7</v>
      </c>
      <c r="E8" s="70">
        <v>1.57</v>
      </c>
      <c r="F8" s="70">
        <v>31500</v>
      </c>
      <c r="G8" s="72">
        <v>14000</v>
      </c>
    </row>
    <row r="9" spans="1:7" ht="12.75">
      <c r="A9" s="69" t="s">
        <v>18</v>
      </c>
      <c r="B9" s="70">
        <v>26.8</v>
      </c>
      <c r="C9" s="71">
        <v>2.39</v>
      </c>
      <c r="D9" s="70">
        <v>19.1</v>
      </c>
      <c r="E9" s="70">
        <v>1.71</v>
      </c>
      <c r="F9" s="70">
        <v>32500</v>
      </c>
      <c r="G9" s="72">
        <v>15000</v>
      </c>
    </row>
    <row r="10" spans="1:7" ht="12.75">
      <c r="A10" s="69" t="s">
        <v>19</v>
      </c>
      <c r="B10" s="73">
        <v>29.6</v>
      </c>
      <c r="C10" s="74">
        <v>2.51</v>
      </c>
      <c r="D10" s="73">
        <v>21.1</v>
      </c>
      <c r="E10" s="73">
        <v>1.8</v>
      </c>
      <c r="F10" s="73">
        <v>33500</v>
      </c>
      <c r="G10" s="75">
        <v>15500</v>
      </c>
    </row>
    <row r="11" spans="1:7" ht="12.75">
      <c r="A11" s="69" t="s">
        <v>20</v>
      </c>
      <c r="B11" s="73">
        <v>32.4</v>
      </c>
      <c r="C11" s="74">
        <v>2.64</v>
      </c>
      <c r="D11" s="73">
        <v>23.1</v>
      </c>
      <c r="E11" s="73">
        <v>1.89</v>
      </c>
      <c r="F11" s="73">
        <v>34500</v>
      </c>
      <c r="G11" s="75">
        <v>16000</v>
      </c>
    </row>
    <row r="12" spans="1:7" ht="12.75">
      <c r="A12" s="69" t="s">
        <v>21</v>
      </c>
      <c r="B12" s="70">
        <v>35.5</v>
      </c>
      <c r="C12" s="71">
        <v>2.74</v>
      </c>
      <c r="D12" s="70">
        <v>25.3</v>
      </c>
      <c r="E12" s="70">
        <v>1.96</v>
      </c>
      <c r="F12" s="70">
        <v>35500</v>
      </c>
      <c r="G12" s="72">
        <v>16500</v>
      </c>
    </row>
    <row r="13" spans="1:7" ht="12.75">
      <c r="A13" s="69" t="s">
        <v>22</v>
      </c>
      <c r="B13" s="70">
        <v>38.5</v>
      </c>
      <c r="C13" s="71">
        <v>2.85</v>
      </c>
      <c r="D13" s="70">
        <v>27.5</v>
      </c>
      <c r="E13" s="70">
        <v>2.04</v>
      </c>
      <c r="F13" s="70">
        <v>36000</v>
      </c>
      <c r="G13" s="72">
        <v>17000</v>
      </c>
    </row>
    <row r="14" spans="1:7" ht="12.75">
      <c r="A14" s="69" t="s">
        <v>23</v>
      </c>
      <c r="B14" s="73">
        <v>41.5</v>
      </c>
      <c r="C14" s="74">
        <v>2.93</v>
      </c>
      <c r="D14" s="73">
        <v>29.7</v>
      </c>
      <c r="E14" s="73">
        <v>2.09</v>
      </c>
      <c r="F14" s="73">
        <v>36500</v>
      </c>
      <c r="G14" s="75">
        <v>17500</v>
      </c>
    </row>
    <row r="15" spans="1:7" ht="12.75">
      <c r="A15" s="69" t="s">
        <v>24</v>
      </c>
      <c r="B15" s="73">
        <v>44.5</v>
      </c>
      <c r="C15" s="74">
        <v>2.99</v>
      </c>
      <c r="D15" s="73">
        <v>31.8</v>
      </c>
      <c r="E15" s="73">
        <v>2.14</v>
      </c>
      <c r="F15" s="73">
        <v>37000</v>
      </c>
      <c r="G15" s="75">
        <v>18000</v>
      </c>
    </row>
    <row r="16" spans="1:7" ht="12.75">
      <c r="A16" s="69" t="s">
        <v>25</v>
      </c>
      <c r="B16" s="70">
        <v>47.4</v>
      </c>
      <c r="C16" s="71">
        <v>3.05</v>
      </c>
      <c r="D16" s="70">
        <v>33.8</v>
      </c>
      <c r="E16" s="70">
        <v>2.18</v>
      </c>
      <c r="F16" s="70">
        <v>37500</v>
      </c>
      <c r="G16" s="72">
        <v>18500</v>
      </c>
    </row>
    <row r="17" spans="1:7" ht="13.5" thickBot="1">
      <c r="A17" s="76" t="s">
        <v>26</v>
      </c>
      <c r="B17" s="77">
        <v>50.2</v>
      </c>
      <c r="C17" s="78">
        <v>3.11</v>
      </c>
      <c r="D17" s="77">
        <v>35.9</v>
      </c>
      <c r="E17" s="77">
        <v>2.22</v>
      </c>
      <c r="F17" s="77">
        <v>38000</v>
      </c>
      <c r="G17" s="79">
        <v>19000</v>
      </c>
    </row>
    <row r="19" spans="1:4" ht="13.5" thickBot="1">
      <c r="A19" s="80" t="s">
        <v>4</v>
      </c>
      <c r="B19" s="81" t="s">
        <v>27</v>
      </c>
      <c r="C19" s="82" t="s">
        <v>28</v>
      </c>
      <c r="D19" s="64" t="s">
        <v>29</v>
      </c>
    </row>
    <row r="20" spans="1:11" ht="13.5" thickBot="1">
      <c r="A20" s="83" t="s">
        <v>30</v>
      </c>
      <c r="B20" s="84">
        <v>210</v>
      </c>
      <c r="C20" s="85">
        <v>210000</v>
      </c>
      <c r="I20" s="64">
        <v>2</v>
      </c>
      <c r="J20" s="64">
        <v>1</v>
      </c>
      <c r="K20" s="64">
        <v>3</v>
      </c>
    </row>
    <row r="21" spans="1:3" ht="13.5" thickBot="1">
      <c r="A21" s="83" t="s">
        <v>31</v>
      </c>
      <c r="B21" s="84">
        <v>300</v>
      </c>
      <c r="C21" s="85">
        <v>200000</v>
      </c>
    </row>
    <row r="22" spans="1:3" ht="13.5" thickBot="1">
      <c r="A22" s="86" t="s">
        <v>32</v>
      </c>
      <c r="B22" s="87">
        <v>360</v>
      </c>
      <c r="C22" s="88">
        <v>200000</v>
      </c>
    </row>
    <row r="23" spans="1:3" ht="13.5" thickBot="1">
      <c r="A23" s="86" t="s">
        <v>193</v>
      </c>
      <c r="B23" s="87">
        <v>360</v>
      </c>
      <c r="C23" s="88">
        <v>200000</v>
      </c>
    </row>
    <row r="24" spans="1:3" ht="13.5" thickBot="1">
      <c r="A24" s="86" t="s">
        <v>194</v>
      </c>
      <c r="B24" s="87">
        <v>360</v>
      </c>
      <c r="C24" s="88">
        <v>200000</v>
      </c>
    </row>
    <row r="26" spans="9:11" ht="12">
      <c r="I26" s="64" t="s">
        <v>128</v>
      </c>
      <c r="J26" s="64" t="s">
        <v>195</v>
      </c>
      <c r="K26" s="64" t="s">
        <v>141</v>
      </c>
    </row>
    <row r="27" spans="1:11" ht="12">
      <c r="A27" s="64" t="s">
        <v>114</v>
      </c>
      <c r="I27" s="64">
        <v>1</v>
      </c>
      <c r="J27" s="64">
        <v>1</v>
      </c>
      <c r="K27" s="64">
        <v>1</v>
      </c>
    </row>
    <row r="28" ht="12">
      <c r="A28" s="64" t="s">
        <v>115</v>
      </c>
    </row>
    <row r="29" ht="12">
      <c r="A29" s="64" t="s">
        <v>119</v>
      </c>
    </row>
    <row r="30" ht="12">
      <c r="A30" s="64" t="s">
        <v>196</v>
      </c>
    </row>
    <row r="31" ht="12">
      <c r="A31" s="64" t="s">
        <v>197</v>
      </c>
    </row>
    <row r="35" spans="1:9" ht="12">
      <c r="A35" s="64" t="s">
        <v>275</v>
      </c>
      <c r="I35" s="64">
        <v>1</v>
      </c>
    </row>
    <row r="36" ht="12">
      <c r="A36" s="64" t="s">
        <v>385</v>
      </c>
    </row>
    <row r="37" ht="12">
      <c r="A37" s="64" t="s">
        <v>386</v>
      </c>
    </row>
    <row r="38" ht="12">
      <c r="A38" s="64" t="s">
        <v>387</v>
      </c>
    </row>
    <row r="96" spans="4:7" ht="14.25">
      <c r="D96" s="64" t="str">
        <f>"As＝"&amp;CEILING(D88,0.01)&amp;"*"&amp;10^6&amp;"/("&amp;0.9&amp;"*"&amp;INDEX('混凝土强度和模量'!$B$20:$B$24,'混凝土强度和模量'!$I$20)&amp;"*"&amp;'X向计算'!$F$3-25&amp;")＝"&amp;INT(CEILING(D88,0.01)*10^6/(0.9*INDEX('混凝土强度和模量'!$B$20:$B$24,'混凝土强度和模量'!$I$20)*('X向计算'!$F$3-25)))&amp;" mm2"</f>
        <v>As＝0*1000000/(0.9*300*225)＝0 mm2</v>
      </c>
      <c r="G96" s="265"/>
    </row>
    <row r="104" ht="13.5">
      <c r="D104" s="269" t="str">
        <f>"＝"&amp;CEILING('选筋（X向）'!H18,0.001)&amp;" mm"</f>
        <v>＝0.074 mm</v>
      </c>
    </row>
    <row r="108" ht="12">
      <c r="D108" s="64" t="str">
        <f>"As＝"&amp;CEILING(E88,0.01)&amp;"*"&amp;10^6&amp;"/("&amp;0.9&amp;"*"&amp;INDEX('混凝土强度和模量'!$B$20:$B$24,'混凝土强度和模量'!$I$20)&amp;"*"&amp;'X向计算'!$F$3-25&amp;")＝"&amp;INT(CEILING(E88,0.01)*10^6/(0.9*INDEX('混凝土强度和模量'!$B$20:$B$24,'混凝土强度和模量'!$I$20)*('X向计算'!$F$3-25)))&amp;" mm2"</f>
        <v>As＝0*1000000/(0.9*300*225)＝0 mm2</v>
      </c>
    </row>
    <row r="116" ht="12">
      <c r="D116" s="64" t="str">
        <f>"＝"&amp;CEILING('选筋（X向）'!I18,0.001)&amp;" mm"</f>
        <v>＝0.043 mm</v>
      </c>
    </row>
    <row r="128" ht="12">
      <c r="D128" s="64" t="str">
        <f>"＝"&amp;CEILING('选筋（X向）'!J18,0.001)&amp;" mm"</f>
        <v>＝0.068 mm</v>
      </c>
    </row>
    <row r="140" ht="12">
      <c r="D140" s="64" t="str">
        <f>"＝"&amp;CEILING('选筋（X向）'!K18,0.001)&amp;" mm"</f>
        <v>＝0.049 mm</v>
      </c>
    </row>
    <row r="194" ht="12">
      <c r="D194" s="64" t="str">
        <f>"＝"&amp;CEILING('选筋（Y向）'!H18,0.001)&amp;" mm"</f>
        <v>＝0.229 mm</v>
      </c>
    </row>
    <row r="206" ht="12">
      <c r="D206" s="64" t="str">
        <f>"＝"&amp;CEILING('选筋（Y向）'!I18,0.001)&amp;" mm"</f>
        <v>＝0.058 mm</v>
      </c>
    </row>
    <row r="218" ht="12">
      <c r="D218" s="64" t="str">
        <f>"＝"&amp;CEILING('选筋（Y向）'!J18,0.001)&amp;" mm"</f>
        <v>＝0.091 mm</v>
      </c>
    </row>
    <row r="230" ht="12">
      <c r="D230" s="64" t="str">
        <f>"＝"&amp;CEILING('选筋（Y向）'!K18,0.001)&amp;" mm"</f>
        <v>＝0.066 mm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N230"/>
  <sheetViews>
    <sheetView zoomScalePageLayoutView="0" workbookViewId="0" topLeftCell="A25">
      <selection activeCell="J27" sqref="J27"/>
    </sheetView>
  </sheetViews>
  <sheetFormatPr defaultColWidth="9.00390625" defaultRowHeight="14.25"/>
  <cols>
    <col min="1" max="1" width="18.125" style="0" customWidth="1"/>
  </cols>
  <sheetData>
    <row r="1" spans="2:12" ht="14.25">
      <c r="B1" t="s">
        <v>51</v>
      </c>
      <c r="G1" t="s">
        <v>102</v>
      </c>
      <c r="L1" t="s">
        <v>120</v>
      </c>
    </row>
    <row r="2" spans="2:11" ht="14.25">
      <c r="B2" s="12" t="s">
        <v>53</v>
      </c>
      <c r="C2" s="12" t="s">
        <v>116</v>
      </c>
      <c r="D2" s="12" t="s">
        <v>117</v>
      </c>
      <c r="E2" s="12" t="s">
        <v>118</v>
      </c>
      <c r="F2" s="12" t="s">
        <v>54</v>
      </c>
      <c r="G2" s="2" t="s">
        <v>97</v>
      </c>
      <c r="H2" s="2" t="s">
        <v>98</v>
      </c>
      <c r="I2" s="2" t="s">
        <v>99</v>
      </c>
      <c r="J2" s="2" t="s">
        <v>100</v>
      </c>
      <c r="K2" s="2" t="s">
        <v>101</v>
      </c>
    </row>
    <row r="3" spans="1:14" ht="14.25">
      <c r="A3" t="s">
        <v>114</v>
      </c>
      <c r="B3">
        <v>0.0779</v>
      </c>
      <c r="C3">
        <v>0.0331</v>
      </c>
      <c r="D3">
        <v>0.046900000000000004</v>
      </c>
      <c r="E3">
        <v>0.10490000000000001</v>
      </c>
      <c r="F3">
        <v>0.0791</v>
      </c>
      <c r="G3">
        <v>0.394</v>
      </c>
      <c r="H3">
        <v>-0.606</v>
      </c>
      <c r="I3">
        <v>0.526</v>
      </c>
      <c r="J3">
        <v>-0.474</v>
      </c>
      <c r="K3">
        <v>0.5</v>
      </c>
      <c r="L3">
        <v>0.644</v>
      </c>
      <c r="M3">
        <v>0.151</v>
      </c>
      <c r="N3">
        <v>0.315</v>
      </c>
    </row>
    <row r="4" spans="1:14" ht="14.25">
      <c r="A4" t="s">
        <v>115</v>
      </c>
      <c r="B4">
        <v>0.053</v>
      </c>
      <c r="C4">
        <v>0.026</v>
      </c>
      <c r="D4">
        <v>0.034</v>
      </c>
      <c r="E4">
        <v>0.066</v>
      </c>
      <c r="F4">
        <v>0.049</v>
      </c>
      <c r="G4">
        <v>0.184</v>
      </c>
      <c r="H4">
        <v>0.316</v>
      </c>
      <c r="I4">
        <v>0.266</v>
      </c>
      <c r="J4">
        <v>0.234</v>
      </c>
      <c r="K4">
        <v>0.25</v>
      </c>
      <c r="L4">
        <v>0.422</v>
      </c>
      <c r="M4">
        <v>0.114</v>
      </c>
      <c r="N4">
        <v>0.217</v>
      </c>
    </row>
    <row r="5" spans="1:11" ht="14.25">
      <c r="A5" t="s">
        <v>119</v>
      </c>
      <c r="B5">
        <v>0.0407</v>
      </c>
      <c r="C5">
        <v>0.0143</v>
      </c>
      <c r="D5">
        <v>0.020499999999999997</v>
      </c>
      <c r="E5">
        <v>0.0557</v>
      </c>
      <c r="F5">
        <v>0.042</v>
      </c>
      <c r="G5">
        <v>0.194</v>
      </c>
      <c r="H5">
        <v>0.306</v>
      </c>
      <c r="I5">
        <v>0.264</v>
      </c>
      <c r="J5">
        <v>0.236</v>
      </c>
      <c r="K5">
        <v>0.25</v>
      </c>
    </row>
    <row r="6" spans="1:6" ht="14.25">
      <c r="A6" s="49" t="s">
        <v>126</v>
      </c>
      <c r="B6">
        <v>0.0395</v>
      </c>
      <c r="C6">
        <v>0.0176</v>
      </c>
      <c r="D6">
        <v>0.0242</v>
      </c>
      <c r="E6">
        <v>0.054</v>
      </c>
      <c r="F6">
        <v>0.0407</v>
      </c>
    </row>
    <row r="7" spans="1:6" ht="14.25">
      <c r="A7" s="49" t="s">
        <v>127</v>
      </c>
      <c r="B7">
        <v>0.0399</v>
      </c>
      <c r="C7">
        <v>0.0163</v>
      </c>
      <c r="D7">
        <v>0.0223</v>
      </c>
      <c r="E7">
        <v>0.0533</v>
      </c>
      <c r="F7">
        <v>0.0402</v>
      </c>
    </row>
    <row r="10" ht="14.25">
      <c r="B10" t="s">
        <v>51</v>
      </c>
    </row>
    <row r="11" spans="2:11" ht="14.25">
      <c r="B11" s="12" t="s">
        <v>53</v>
      </c>
      <c r="C11" s="12"/>
      <c r="D11" s="12" t="s">
        <v>118</v>
      </c>
      <c r="E11" s="12"/>
      <c r="F11" s="12" t="s">
        <v>116</v>
      </c>
      <c r="G11" s="12"/>
      <c r="H11" s="12" t="s">
        <v>138</v>
      </c>
      <c r="I11" s="12"/>
      <c r="J11" s="12" t="s">
        <v>117</v>
      </c>
      <c r="K11" s="12"/>
    </row>
    <row r="12" spans="2:11" ht="14.25">
      <c r="B12" s="12" t="s">
        <v>139</v>
      </c>
      <c r="C12" s="12" t="s">
        <v>140</v>
      </c>
      <c r="D12" s="12" t="s">
        <v>139</v>
      </c>
      <c r="E12" s="12" t="s">
        <v>140</v>
      </c>
      <c r="F12" s="12" t="s">
        <v>139</v>
      </c>
      <c r="G12" s="12" t="s">
        <v>140</v>
      </c>
      <c r="H12" s="12" t="s">
        <v>139</v>
      </c>
      <c r="I12" s="12" t="s">
        <v>140</v>
      </c>
      <c r="J12" s="12" t="s">
        <v>139</v>
      </c>
      <c r="K12" s="12" t="s">
        <v>140</v>
      </c>
    </row>
    <row r="13" spans="1:11" ht="14.25">
      <c r="A13" t="s">
        <v>114</v>
      </c>
      <c r="B13" s="12">
        <v>0.078</v>
      </c>
      <c r="C13" s="12">
        <v>0.1</v>
      </c>
      <c r="D13" s="12">
        <v>-0.105</v>
      </c>
      <c r="E13" s="12">
        <v>-0.12</v>
      </c>
      <c r="F13" s="12">
        <v>0.033</v>
      </c>
      <c r="G13" s="12">
        <v>0.079</v>
      </c>
      <c r="H13" s="12">
        <v>-0.08</v>
      </c>
      <c r="I13" s="12">
        <v>-0.111</v>
      </c>
      <c r="J13" s="12">
        <v>0.046</v>
      </c>
      <c r="K13" s="12">
        <v>0.086</v>
      </c>
    </row>
    <row r="14" spans="1:11" ht="14.25">
      <c r="A14" t="s">
        <v>115</v>
      </c>
      <c r="B14" s="12">
        <v>0.053</v>
      </c>
      <c r="C14" s="12">
        <v>0.068</v>
      </c>
      <c r="D14" s="12">
        <v>-0.066</v>
      </c>
      <c r="E14" s="12">
        <v>0.075</v>
      </c>
      <c r="F14" s="12">
        <v>0.026</v>
      </c>
      <c r="G14" s="12">
        <v>0.055</v>
      </c>
      <c r="H14" s="12">
        <v>-0.05</v>
      </c>
      <c r="I14" s="12">
        <v>-0.07</v>
      </c>
      <c r="J14" s="12">
        <v>0.034</v>
      </c>
      <c r="K14" s="12">
        <v>0.059</v>
      </c>
    </row>
    <row r="15" spans="1:11" ht="14.25">
      <c r="A15" t="s">
        <v>119</v>
      </c>
      <c r="B15" s="12">
        <v>0.035</v>
      </c>
      <c r="C15" s="12">
        <v>0.049</v>
      </c>
      <c r="D15" s="12">
        <v>-0.056</v>
      </c>
      <c r="E15" s="12">
        <v>-0.064</v>
      </c>
      <c r="F15" s="12">
        <v>0.014</v>
      </c>
      <c r="G15" s="12">
        <v>0.038</v>
      </c>
      <c r="H15" s="12">
        <v>-0.042</v>
      </c>
      <c r="I15" s="12">
        <v>-0.059</v>
      </c>
      <c r="J15" s="12">
        <v>0.021</v>
      </c>
      <c r="K15" s="12">
        <v>0.042</v>
      </c>
    </row>
    <row r="16" spans="1:6" ht="14.25">
      <c r="A16" s="49" t="s">
        <v>126</v>
      </c>
      <c r="B16">
        <v>0.0395</v>
      </c>
      <c r="C16">
        <v>0.0176</v>
      </c>
      <c r="D16">
        <v>0.0242</v>
      </c>
      <c r="E16">
        <v>0.054</v>
      </c>
      <c r="F16">
        <v>0.0407</v>
      </c>
    </row>
    <row r="17" spans="1:6" ht="14.25">
      <c r="A17" s="49" t="s">
        <v>127</v>
      </c>
      <c r="B17">
        <v>0.0399</v>
      </c>
      <c r="C17">
        <v>0.0163</v>
      </c>
      <c r="D17">
        <v>0.0223</v>
      </c>
      <c r="E17">
        <v>0.0533</v>
      </c>
      <c r="F17">
        <v>0.0402</v>
      </c>
    </row>
    <row r="21" ht="13.5" customHeight="1" thickBot="1"/>
    <row r="22" spans="1:7" s="172" customFormat="1" ht="18.75" customHeight="1" thickBot="1">
      <c r="A22" s="352" t="s">
        <v>383</v>
      </c>
      <c r="B22" s="353"/>
      <c r="C22" s="353"/>
      <c r="D22" s="353"/>
      <c r="E22" s="353"/>
      <c r="F22" s="353"/>
      <c r="G22" s="353"/>
    </row>
    <row r="23" ht="14.25">
      <c r="F23">
        <v>0.111</v>
      </c>
    </row>
    <row r="24" spans="2:12" ht="14.25">
      <c r="B24" t="s">
        <v>51</v>
      </c>
      <c r="G24" t="s">
        <v>102</v>
      </c>
      <c r="L24" t="s">
        <v>120</v>
      </c>
    </row>
    <row r="25" spans="2:11" ht="14.25">
      <c r="B25" s="12" t="s">
        <v>53</v>
      </c>
      <c r="C25" s="12" t="s">
        <v>116</v>
      </c>
      <c r="D25" s="12" t="s">
        <v>117</v>
      </c>
      <c r="E25" s="12" t="s">
        <v>118</v>
      </c>
      <c r="F25" s="12" t="s">
        <v>54</v>
      </c>
      <c r="G25" s="2" t="s">
        <v>97</v>
      </c>
      <c r="H25" s="2" t="s">
        <v>98</v>
      </c>
      <c r="I25" s="2" t="s">
        <v>99</v>
      </c>
      <c r="J25" s="2" t="s">
        <v>100</v>
      </c>
      <c r="K25" s="2" t="s">
        <v>101</v>
      </c>
    </row>
    <row r="26" spans="1:14" ht="14.25">
      <c r="A26" t="s">
        <v>114</v>
      </c>
      <c r="B26">
        <v>0.0779</v>
      </c>
      <c r="C26">
        <v>0.0331</v>
      </c>
      <c r="D26">
        <v>0.046900000000000004</v>
      </c>
      <c r="E26">
        <v>0.119</v>
      </c>
      <c r="F26">
        <v>0.111</v>
      </c>
      <c r="G26">
        <v>0.447</v>
      </c>
      <c r="H26">
        <v>-0.62</v>
      </c>
      <c r="I26">
        <v>0.598</v>
      </c>
      <c r="J26">
        <v>-0.576</v>
      </c>
      <c r="K26">
        <v>0.591</v>
      </c>
      <c r="L26">
        <v>0.973</v>
      </c>
      <c r="M26">
        <v>0.727</v>
      </c>
      <c r="N26">
        <v>0.809</v>
      </c>
    </row>
    <row r="27" spans="1:14" ht="14.25">
      <c r="A27" t="s">
        <v>115</v>
      </c>
      <c r="B27">
        <v>0.053</v>
      </c>
      <c r="C27">
        <v>0.026</v>
      </c>
      <c r="D27">
        <v>0.034</v>
      </c>
      <c r="E27">
        <v>0.075</v>
      </c>
      <c r="F27">
        <v>0.07</v>
      </c>
      <c r="G27">
        <v>0.217</v>
      </c>
      <c r="H27">
        <v>-0.325</v>
      </c>
      <c r="I27">
        <v>0.311</v>
      </c>
      <c r="J27">
        <v>-0.298</v>
      </c>
      <c r="K27">
        <v>0.307</v>
      </c>
      <c r="L27">
        <v>0.628</v>
      </c>
      <c r="M27">
        <v>0.474</v>
      </c>
      <c r="N27">
        <v>0.525</v>
      </c>
    </row>
    <row r="29" ht="15" thickBot="1"/>
    <row r="30" spans="1:7" s="172" customFormat="1" ht="18.75" customHeight="1" thickBot="1">
      <c r="A30" s="352" t="s">
        <v>382</v>
      </c>
      <c r="B30" s="353"/>
      <c r="C30" s="353"/>
      <c r="D30" s="353"/>
      <c r="E30" s="353"/>
      <c r="F30" s="353"/>
      <c r="G30" s="353"/>
    </row>
    <row r="32" spans="2:12" ht="14.25">
      <c r="B32" t="s">
        <v>51</v>
      </c>
      <c r="G32" t="s">
        <v>102</v>
      </c>
      <c r="L32" t="s">
        <v>120</v>
      </c>
    </row>
    <row r="33" spans="2:11" ht="14.25">
      <c r="B33" s="12" t="s">
        <v>53</v>
      </c>
      <c r="C33" s="12" t="s">
        <v>116</v>
      </c>
      <c r="D33" s="12" t="s">
        <v>117</v>
      </c>
      <c r="E33" s="12" t="s">
        <v>118</v>
      </c>
      <c r="F33" s="12" t="s">
        <v>54</v>
      </c>
      <c r="G33" s="2" t="s">
        <v>97</v>
      </c>
      <c r="H33" s="2" t="s">
        <v>98</v>
      </c>
      <c r="I33" s="2" t="s">
        <v>99</v>
      </c>
      <c r="J33" s="2" t="s">
        <v>100</v>
      </c>
      <c r="K33" s="2" t="s">
        <v>101</v>
      </c>
    </row>
    <row r="34" spans="1:14" ht="14.25">
      <c r="A34" t="s">
        <v>114</v>
      </c>
      <c r="B34">
        <v>0.1</v>
      </c>
      <c r="C34">
        <v>0.079</v>
      </c>
      <c r="D34">
        <v>0.085</v>
      </c>
      <c r="E34">
        <v>0.10490000000000001</v>
      </c>
      <c r="F34">
        <v>0.0791</v>
      </c>
      <c r="G34">
        <v>0.447</v>
      </c>
      <c r="H34">
        <v>-0.62</v>
      </c>
      <c r="I34">
        <v>0.598</v>
      </c>
      <c r="J34">
        <v>-0.576</v>
      </c>
      <c r="K34">
        <v>0.591</v>
      </c>
      <c r="L34">
        <v>0.973</v>
      </c>
      <c r="M34">
        <v>0.727</v>
      </c>
      <c r="N34">
        <v>0.809</v>
      </c>
    </row>
    <row r="35" spans="1:14" ht="14.25">
      <c r="A35" t="s">
        <v>115</v>
      </c>
      <c r="B35">
        <v>0.067</v>
      </c>
      <c r="C35">
        <v>0.055</v>
      </c>
      <c r="D35">
        <v>0.059</v>
      </c>
      <c r="E35">
        <v>0.066</v>
      </c>
      <c r="F35">
        <v>0.049</v>
      </c>
      <c r="G35">
        <v>0.217</v>
      </c>
      <c r="H35">
        <v>-0.325</v>
      </c>
      <c r="I35">
        <v>0.311</v>
      </c>
      <c r="J35">
        <v>-0.298</v>
      </c>
      <c r="K35">
        <v>0.307</v>
      </c>
      <c r="L35">
        <v>0.628</v>
      </c>
      <c r="M35">
        <v>0.474</v>
      </c>
      <c r="N35">
        <v>0.525</v>
      </c>
    </row>
    <row r="36" spans="2:11" ht="14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4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4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ht="15" thickBot="1"/>
    <row r="40" spans="1:7" s="172" customFormat="1" ht="18.75" customHeight="1" thickBot="1">
      <c r="A40" s="352" t="s">
        <v>384</v>
      </c>
      <c r="B40" s="353"/>
      <c r="C40" s="353"/>
      <c r="D40" s="353"/>
      <c r="E40" s="353"/>
      <c r="F40" s="353"/>
      <c r="G40" s="353"/>
    </row>
    <row r="42" spans="2:12" ht="14.25">
      <c r="B42" t="s">
        <v>51</v>
      </c>
      <c r="G42" t="s">
        <v>102</v>
      </c>
      <c r="L42" t="s">
        <v>120</v>
      </c>
    </row>
    <row r="43" spans="2:11" ht="14.25">
      <c r="B43" s="12" t="s">
        <v>53</v>
      </c>
      <c r="C43" s="12" t="s">
        <v>116</v>
      </c>
      <c r="D43" s="12" t="s">
        <v>117</v>
      </c>
      <c r="E43" s="12" t="s">
        <v>118</v>
      </c>
      <c r="F43" s="12" t="s">
        <v>54</v>
      </c>
      <c r="G43" s="2" t="s">
        <v>97</v>
      </c>
      <c r="H43" s="2" t="s">
        <v>98</v>
      </c>
      <c r="I43" s="2" t="s">
        <v>99</v>
      </c>
      <c r="J43" s="2" t="s">
        <v>100</v>
      </c>
      <c r="K43" s="2" t="s">
        <v>101</v>
      </c>
    </row>
    <row r="44" spans="1:14" ht="14.25">
      <c r="A44" t="s">
        <v>114</v>
      </c>
      <c r="B44">
        <v>0.1</v>
      </c>
      <c r="C44">
        <v>0.079</v>
      </c>
      <c r="D44">
        <v>0.085</v>
      </c>
      <c r="E44">
        <v>0.119</v>
      </c>
      <c r="F44">
        <v>0.111</v>
      </c>
      <c r="G44">
        <v>0.447</v>
      </c>
      <c r="H44">
        <v>-0.62</v>
      </c>
      <c r="I44">
        <v>0.598</v>
      </c>
      <c r="J44">
        <v>-0.576</v>
      </c>
      <c r="K44">
        <v>0.591</v>
      </c>
      <c r="L44">
        <v>0.973</v>
      </c>
      <c r="M44">
        <v>0.727</v>
      </c>
      <c r="N44">
        <v>0.809</v>
      </c>
    </row>
    <row r="45" spans="1:14" ht="14.25">
      <c r="A45" t="s">
        <v>115</v>
      </c>
      <c r="B45">
        <v>0.067</v>
      </c>
      <c r="C45">
        <v>0.055</v>
      </c>
      <c r="D45">
        <v>0.059</v>
      </c>
      <c r="E45">
        <v>0.075</v>
      </c>
      <c r="F45">
        <v>0.07</v>
      </c>
      <c r="G45">
        <v>0.217</v>
      </c>
      <c r="H45">
        <v>-0.325</v>
      </c>
      <c r="I45">
        <v>0.311</v>
      </c>
      <c r="J45">
        <v>-0.298</v>
      </c>
      <c r="K45">
        <v>0.307</v>
      </c>
      <c r="L45">
        <v>0.628</v>
      </c>
      <c r="M45">
        <v>0.474</v>
      </c>
      <c r="N45">
        <v>0.525</v>
      </c>
    </row>
    <row r="96" ht="14.25">
      <c r="G96" s="264"/>
    </row>
    <row r="104" ht="14.25">
      <c r="D104" s="268"/>
    </row>
    <row r="194" ht="14.25">
      <c r="D194" t="str">
        <f>"＝"&amp;CEILING('选筋（Y向）'!H18,0.001)&amp;" mm"</f>
        <v>＝0.229 mm</v>
      </c>
    </row>
    <row r="206" ht="14.25">
      <c r="D206" t="str">
        <f>"＝"&amp;CEILING('选筋（Y向）'!I18,0.001)&amp;" mm"</f>
        <v>＝0.058 mm</v>
      </c>
    </row>
    <row r="218" ht="14.25">
      <c r="D218" t="str">
        <f>"＝"&amp;CEILING('选筋（Y向）'!J18,0.001)&amp;" mm"</f>
        <v>＝0.091 mm</v>
      </c>
    </row>
    <row r="230" ht="14.25">
      <c r="D230" t="str">
        <f>"＝"&amp;CEILING('选筋（Y向）'!K18,0.001)&amp;" mm"</f>
        <v>＝0.066 mm</v>
      </c>
    </row>
  </sheetData>
  <sheetProtection/>
  <mergeCells count="3">
    <mergeCell ref="A40:G40"/>
    <mergeCell ref="A30:G30"/>
    <mergeCell ref="A22:G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huangsh</dc:creator>
  <cp:keywords/>
  <dc:description/>
  <cp:lastModifiedBy>dell</cp:lastModifiedBy>
  <cp:lastPrinted>2007-04-30T03:16:47Z</cp:lastPrinted>
  <dcterms:created xsi:type="dcterms:W3CDTF">2005-01-15T05:02:33Z</dcterms:created>
  <dcterms:modified xsi:type="dcterms:W3CDTF">2013-10-04T04:47:25Z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